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Override PartName="/xl/threadedComments/threadedComment1.xml" ContentType="application/vnd.ms-excel.threadedcomment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82"/>
  <workbookPr/>
  <mc:AlternateContent xmlns:mc="http://schemas.openxmlformats.org/markup-compatibility/2006">
    <mc:Choice Requires="x15">
      <x15ac:absPath xmlns:x15ac="http://schemas.microsoft.com/office/spreadsheetml/2010/11/ac" url="E:\Tpirson\Documents\WORK\FEDER IDEES\PhD\WRITING PAPERS\TSM2022\"/>
    </mc:Choice>
  </mc:AlternateContent>
  <xr:revisionPtr revIDLastSave="0" documentId="13_ncr:1_{C42D02B7-8C12-4AF2-A231-5D183E2F61D6}" xr6:coauthVersionLast="36" xr6:coauthVersionMax="47" xr10:uidLastSave="{00000000-0000-0000-0000-000000000000}"/>
  <bookViews>
    <workbookView xWindow="0" yWindow="0" windowWidth="28800" windowHeight="12225" tabRatio="500" xr2:uid="{00000000-000D-0000-FFFF-FFFF00000000}"/>
  </bookViews>
  <sheets>
    <sheet name="Criteria" sheetId="8" r:id="rId1"/>
    <sheet name="GWP" sheetId="33" r:id="rId2"/>
    <sheet name="Energy" sheetId="34" r:id="rId3"/>
    <sheet name="Water" sheetId="35" r:id="rId4"/>
    <sheet name="Parameters" sheetId="37" r:id="rId5"/>
    <sheet name="EIME data" sheetId="26" r:id="rId6"/>
    <sheet name="GaBi data" sheetId="62" r:id="rId7"/>
    <sheet name="EcoInvent data" sheetId="25" r:id="rId8"/>
    <sheet name="Industries data" sheetId="39" r:id="rId9"/>
    <sheet name="ITRS data" sheetId="38" r:id="rId10"/>
    <sheet name="Worldwide production data" sheetId="42" r:id="rId11"/>
    <sheet name="Apple SoC data" sheetId="22" r:id="rId12"/>
    <sheet name="SOTA" sheetId="48" r:id="rId13"/>
    <sheet name="Andrae data" sheetId="57" r:id="rId14"/>
    <sheet name="Bardon data" sheetId="36" r:id="rId15"/>
    <sheet name="Branham data" sheetId="53" r:id="rId16"/>
    <sheet name="Bol data" sheetId="41" r:id="rId17"/>
    <sheet name="Boyd data" sheetId="29" r:id="rId18"/>
    <sheet name="Clement data" sheetId="59" r:id="rId19"/>
    <sheet name="Ciceri data" sheetId="56" r:id="rId20"/>
    <sheet name="Das data" sheetId="66" r:id="rId21"/>
    <sheet name="Deng data" sheetId="47" r:id="rId22"/>
    <sheet name="Ercan data" sheetId="52" r:id="rId23"/>
    <sheet name="Jones data" sheetId="65" r:id="rId24"/>
    <sheet name="Kline data" sheetId="61" r:id="rId25"/>
    <sheet name="Krishnan data" sheetId="43" r:id="rId26"/>
    <sheet name="Hu data" sheetId="50" r:id="rId27"/>
    <sheet name="Huang data" sheetId="60" r:id="rId28"/>
    <sheet name="Murphy data" sheetId="54" r:id="rId29"/>
    <sheet name="Plepys data" sheetId="14" r:id="rId30"/>
    <sheet name="Prakash data" sheetId="44" r:id="rId31"/>
    <sheet name="Proske data" sheetId="64" r:id="rId32"/>
    <sheet name="Schmidt data" sheetId="63" r:id="rId33"/>
    <sheet name="Teehan data" sheetId="45" r:id="rId34"/>
    <sheet name="Wang data" sheetId="58" r:id="rId35"/>
    <sheet name="Williams data" sheetId="51" r:id="rId36"/>
    <sheet name="Yao data" sheetId="55" r:id="rId37"/>
    <sheet name="Industry shares details" sheetId="40" r:id="rId38"/>
    <sheet name="Scopes ratios details" sheetId="46" r:id="rId39"/>
    <sheet name="F-GHG ratio details" sheetId="16" r:id="rId40"/>
  </sheets>
  <definedNames>
    <definedName name="_xlnm._FilterDatabase" localSheetId="1" hidden="1">GWP!$J$1:$J$225</definedName>
  </definedNames>
  <calcPr calcId="191028"/>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AE7" i="14" l="1"/>
  <c r="AE8" i="14"/>
  <c r="AE9" i="14"/>
  <c r="AE10" i="14"/>
  <c r="AE11" i="14"/>
  <c r="AE12" i="14"/>
  <c r="AE13" i="14"/>
  <c r="AE14" i="14"/>
  <c r="AE15" i="14"/>
  <c r="AE16" i="14"/>
  <c r="AE17" i="14"/>
  <c r="AE18" i="14"/>
  <c r="AE19" i="14"/>
  <c r="AE20" i="14"/>
  <c r="AE21" i="14"/>
  <c r="AE22" i="14"/>
  <c r="AE23" i="14"/>
  <c r="AE24" i="14"/>
  <c r="AE25" i="14"/>
  <c r="AE26" i="14"/>
  <c r="AE27" i="14"/>
  <c r="AE28" i="14"/>
  <c r="AE29" i="14"/>
  <c r="AE30" i="14"/>
  <c r="AE31" i="14"/>
  <c r="AE32" i="14"/>
  <c r="AE33" i="14"/>
  <c r="AE6" i="14"/>
  <c r="AE5" i="14"/>
  <c r="F61" i="46"/>
  <c r="I12" i="47"/>
  <c r="I11" i="47"/>
  <c r="D62" i="46"/>
  <c r="W145" i="35"/>
  <c r="W146" i="35"/>
  <c r="W147" i="35"/>
  <c r="W148" i="35"/>
  <c r="W149" i="35"/>
  <c r="W150" i="35"/>
  <c r="W151" i="35"/>
  <c r="W152" i="35"/>
  <c r="W153" i="35"/>
  <c r="W144" i="35"/>
  <c r="W155" i="35"/>
  <c r="W154" i="35"/>
  <c r="J155" i="35"/>
  <c r="J154" i="35"/>
  <c r="J145" i="35"/>
  <c r="J146" i="35"/>
  <c r="J147" i="35"/>
  <c r="J148" i="35"/>
  <c r="J149" i="35"/>
  <c r="J150" i="35"/>
  <c r="J151" i="35"/>
  <c r="J152" i="35"/>
  <c r="J153" i="35"/>
  <c r="J144" i="35"/>
  <c r="W249" i="34"/>
  <c r="W248" i="34"/>
  <c r="W240" i="34"/>
  <c r="W241" i="34"/>
  <c r="W242" i="34"/>
  <c r="W243" i="34"/>
  <c r="W244" i="34"/>
  <c r="W245" i="34"/>
  <c r="W246" i="34"/>
  <c r="W247" i="34"/>
  <c r="W239" i="34"/>
  <c r="W238" i="34"/>
  <c r="J249" i="34"/>
  <c r="J248" i="34"/>
  <c r="J239" i="34"/>
  <c r="J240" i="34"/>
  <c r="J241" i="34"/>
  <c r="J242" i="34"/>
  <c r="J243" i="34"/>
  <c r="J244" i="34"/>
  <c r="J245" i="34"/>
  <c r="J246" i="34"/>
  <c r="J247" i="34"/>
  <c r="J238" i="34"/>
  <c r="W214" i="33"/>
  <c r="W213" i="33"/>
  <c r="W204" i="33"/>
  <c r="W205" i="33"/>
  <c r="W206" i="33"/>
  <c r="W207" i="33"/>
  <c r="W208" i="33"/>
  <c r="W209" i="33"/>
  <c r="W210" i="33"/>
  <c r="W211" i="33"/>
  <c r="W212" i="33"/>
  <c r="W203" i="33"/>
  <c r="J210" i="33"/>
  <c r="J211" i="33"/>
  <c r="J212" i="33"/>
  <c r="J214" i="33"/>
  <c r="J213" i="33"/>
  <c r="J204" i="33"/>
  <c r="J205" i="33"/>
  <c r="J206" i="33"/>
  <c r="J207" i="33"/>
  <c r="J208" i="33"/>
  <c r="J209" i="33"/>
  <c r="J203" i="33"/>
  <c r="C14" i="37"/>
  <c r="AN4" i="39" s="1"/>
  <c r="B69" i="48"/>
  <c r="B109" i="48"/>
  <c r="AS26" i="38"/>
  <c r="AS27" i="38"/>
  <c r="AS28" i="38"/>
  <c r="AS25" i="38"/>
  <c r="Y26" i="38"/>
  <c r="Y27" i="38"/>
  <c r="Y28" i="38"/>
  <c r="Y25" i="38"/>
  <c r="AS23" i="38"/>
  <c r="AS22" i="38"/>
  <c r="AS20" i="38"/>
  <c r="AS19" i="38"/>
  <c r="AS17" i="38"/>
  <c r="AS16" i="38"/>
  <c r="Y23" i="38"/>
  <c r="Y22" i="38"/>
  <c r="Y20" i="38"/>
  <c r="Y19" i="38"/>
  <c r="Y17" i="38"/>
  <c r="Y16" i="38"/>
  <c r="D130" i="33"/>
  <c r="D131" i="33"/>
  <c r="D132" i="33"/>
  <c r="D133" i="33"/>
  <c r="D134" i="33"/>
  <c r="D135" i="33"/>
  <c r="D136" i="33"/>
  <c r="G7" i="55"/>
  <c r="H7" i="55" s="1"/>
  <c r="W130" i="33" s="1"/>
  <c r="G8" i="55"/>
  <c r="H8" i="55" s="1"/>
  <c r="W131" i="33" s="1"/>
  <c r="G9" i="55"/>
  <c r="H9" i="55" s="1"/>
  <c r="W132" i="33" s="1"/>
  <c r="G10" i="55"/>
  <c r="H10" i="55" s="1"/>
  <c r="W133" i="33" s="1"/>
  <c r="G11" i="55"/>
  <c r="H11" i="55" s="1"/>
  <c r="W134" i="33" s="1"/>
  <c r="G12" i="55"/>
  <c r="H12" i="55" s="1"/>
  <c r="W135" i="33" s="1"/>
  <c r="G13" i="55"/>
  <c r="H13" i="55" s="1"/>
  <c r="W136" i="33" s="1"/>
  <c r="G6" i="55"/>
  <c r="H6" i="55" s="1"/>
  <c r="W129" i="33"/>
  <c r="D129" i="33"/>
  <c r="I13" i="54"/>
  <c r="J13" i="54" s="1"/>
  <c r="W128" i="33" s="1"/>
  <c r="I12" i="54"/>
  <c r="J12" i="54" s="1"/>
  <c r="W127" i="33" s="1"/>
  <c r="D121" i="33"/>
  <c r="D122" i="33"/>
  <c r="D123" i="33"/>
  <c r="D124" i="33"/>
  <c r="D125" i="33"/>
  <c r="D126" i="33"/>
  <c r="D120" i="33"/>
  <c r="D108" i="33"/>
  <c r="W30" i="47"/>
  <c r="Y30" i="47" s="1"/>
  <c r="W108" i="33" s="1"/>
  <c r="F7" i="53"/>
  <c r="G7" i="53" s="1"/>
  <c r="W121" i="33" s="1"/>
  <c r="F8" i="53"/>
  <c r="G8" i="53" s="1"/>
  <c r="W122" i="33" s="1"/>
  <c r="F9" i="53"/>
  <c r="G9" i="53" s="1"/>
  <c r="W123" i="33" s="1"/>
  <c r="F10" i="53"/>
  <c r="G10" i="53" s="1"/>
  <c r="W124" i="33" s="1"/>
  <c r="F11" i="53"/>
  <c r="G11" i="53" s="1"/>
  <c r="W125" i="33" s="1"/>
  <c r="F12" i="53"/>
  <c r="G12" i="53" s="1"/>
  <c r="W126" i="33" s="1"/>
  <c r="F6" i="53"/>
  <c r="G6" i="53" s="1"/>
  <c r="W120" i="33" s="1"/>
  <c r="D113" i="33"/>
  <c r="D114" i="33"/>
  <c r="D115" i="33"/>
  <c r="D116" i="33"/>
  <c r="D117" i="33"/>
  <c r="D118" i="33"/>
  <c r="D119" i="33"/>
  <c r="D112" i="33"/>
  <c r="H8" i="50"/>
  <c r="I8" i="50" s="1"/>
  <c r="W113" i="33" s="1"/>
  <c r="H9" i="50"/>
  <c r="I9" i="50" s="1"/>
  <c r="W114" i="33" s="1"/>
  <c r="H10" i="50"/>
  <c r="I10" i="50" s="1"/>
  <c r="W115" i="33" s="1"/>
  <c r="H11" i="50"/>
  <c r="I11" i="50" s="1"/>
  <c r="W116" i="33" s="1"/>
  <c r="H12" i="50"/>
  <c r="I12" i="50" s="1"/>
  <c r="W117" i="33" s="1"/>
  <c r="H13" i="50"/>
  <c r="I13" i="50" s="1"/>
  <c r="W118" i="33" s="1"/>
  <c r="H14" i="50"/>
  <c r="I14" i="50" s="1"/>
  <c r="W119" i="33" s="1"/>
  <c r="H7" i="50"/>
  <c r="I7" i="50" s="1"/>
  <c r="W112" i="33" s="1"/>
  <c r="D111" i="33"/>
  <c r="D110" i="33"/>
  <c r="G8" i="51"/>
  <c r="H8" i="51" s="1"/>
  <c r="W110" i="33" s="1"/>
  <c r="G9" i="51"/>
  <c r="H9" i="51" s="1"/>
  <c r="W111" i="33" s="1"/>
  <c r="G7" i="51"/>
  <c r="H7" i="51" s="1"/>
  <c r="W109" i="33" s="1"/>
  <c r="D101" i="33"/>
  <c r="D102" i="33"/>
  <c r="D103" i="33"/>
  <c r="D104" i="33"/>
  <c r="D105" i="33"/>
  <c r="D106" i="33"/>
  <c r="D107" i="33"/>
  <c r="D100" i="33"/>
  <c r="D90" i="33"/>
  <c r="D91" i="33"/>
  <c r="D92" i="33"/>
  <c r="D93" i="33"/>
  <c r="D94" i="33"/>
  <c r="D95" i="33"/>
  <c r="D96" i="33"/>
  <c r="D97" i="33"/>
  <c r="D98" i="33"/>
  <c r="D99" i="33"/>
  <c r="D89" i="33"/>
  <c r="W10" i="47"/>
  <c r="Y10" i="47" s="1"/>
  <c r="W101" i="33" s="1"/>
  <c r="W11" i="47"/>
  <c r="Y11" i="47" s="1"/>
  <c r="W102" i="33" s="1"/>
  <c r="W12" i="47"/>
  <c r="Y12" i="47" s="1"/>
  <c r="W103" i="33" s="1"/>
  <c r="W13" i="47"/>
  <c r="Y13" i="47" s="1"/>
  <c r="W104" i="33" s="1"/>
  <c r="W14" i="47"/>
  <c r="Y14" i="47" s="1"/>
  <c r="W105" i="33" s="1"/>
  <c r="W15" i="47"/>
  <c r="Y15" i="47" s="1"/>
  <c r="W106" i="33" s="1"/>
  <c r="W16" i="47"/>
  <c r="Y16" i="47" s="1"/>
  <c r="W107" i="33" s="1"/>
  <c r="W9" i="47"/>
  <c r="Y9" i="47" s="1"/>
  <c r="W100" i="33" s="1"/>
  <c r="V9" i="47"/>
  <c r="X9" i="47" s="1"/>
  <c r="W90" i="33" s="1"/>
  <c r="V10" i="47"/>
  <c r="X10" i="47" s="1"/>
  <c r="W91" i="33" s="1"/>
  <c r="V11" i="47"/>
  <c r="X11" i="47" s="1"/>
  <c r="W92" i="33" s="1"/>
  <c r="V12" i="47"/>
  <c r="X12" i="47" s="1"/>
  <c r="W93" i="33" s="1"/>
  <c r="V13" i="47"/>
  <c r="X13" i="47" s="1"/>
  <c r="W94" i="33" s="1"/>
  <c r="V14" i="47"/>
  <c r="X14" i="47" s="1"/>
  <c r="W95" i="33" s="1"/>
  <c r="V15" i="47"/>
  <c r="X15" i="47" s="1"/>
  <c r="W96" i="33" s="1"/>
  <c r="V16" i="47"/>
  <c r="X16" i="47" s="1"/>
  <c r="W97" i="33" s="1"/>
  <c r="V17" i="47"/>
  <c r="X17" i="47" s="1"/>
  <c r="W98" i="33" s="1"/>
  <c r="V18" i="47"/>
  <c r="X18" i="47" s="1"/>
  <c r="W99" i="33" s="1"/>
  <c r="V8" i="47"/>
  <c r="X8" i="47" s="1"/>
  <c r="W89" i="33" s="1"/>
  <c r="B107" i="48"/>
  <c r="J46" i="34"/>
  <c r="W46" i="34"/>
  <c r="J47" i="34"/>
  <c r="W47" i="34"/>
  <c r="J48" i="34"/>
  <c r="W48" i="34"/>
  <c r="J49" i="34"/>
  <c r="W49" i="34"/>
  <c r="J50" i="34"/>
  <c r="W50" i="34"/>
  <c r="J51" i="34"/>
  <c r="W51" i="34"/>
  <c r="J52" i="34"/>
  <c r="W52" i="34"/>
  <c r="J53" i="34"/>
  <c r="W53" i="34"/>
  <c r="W45" i="34"/>
  <c r="J45" i="34"/>
  <c r="J27" i="33"/>
  <c r="W27" i="33"/>
  <c r="J28" i="33"/>
  <c r="W28" i="33"/>
  <c r="J29" i="33"/>
  <c r="W29" i="33"/>
  <c r="J30" i="33"/>
  <c r="W30" i="33"/>
  <c r="J31" i="33"/>
  <c r="W31" i="33"/>
  <c r="J32" i="33"/>
  <c r="W32" i="33"/>
  <c r="J33" i="33"/>
  <c r="W33" i="33"/>
  <c r="J34" i="33"/>
  <c r="W34" i="33"/>
  <c r="J26" i="33"/>
  <c r="W26" i="33"/>
  <c r="W58" i="33"/>
  <c r="W22" i="33"/>
  <c r="D6" i="63"/>
  <c r="D5" i="63"/>
  <c r="E7" i="52"/>
  <c r="W26" i="34" s="1"/>
  <c r="W57" i="33"/>
  <c r="J57" i="34"/>
  <c r="J58" i="34"/>
  <c r="J59" i="34"/>
  <c r="J60" i="34"/>
  <c r="J61" i="34"/>
  <c r="J62" i="34"/>
  <c r="J63" i="34"/>
  <c r="J64" i="34"/>
  <c r="J65" i="34"/>
  <c r="J66" i="34"/>
  <c r="J67" i="34"/>
  <c r="J68" i="34"/>
  <c r="J69" i="34"/>
  <c r="J70" i="34"/>
  <c r="J56" i="34"/>
  <c r="G57" i="34"/>
  <c r="G58" i="34"/>
  <c r="G59" i="34"/>
  <c r="G60" i="34"/>
  <c r="G61" i="34"/>
  <c r="G62" i="34"/>
  <c r="G63" i="34"/>
  <c r="G64" i="34"/>
  <c r="G65" i="34"/>
  <c r="G66" i="34"/>
  <c r="G67" i="34"/>
  <c r="G68" i="34"/>
  <c r="G69" i="34"/>
  <c r="G70" i="34"/>
  <c r="G56" i="34"/>
  <c r="W69" i="34"/>
  <c r="W70" i="34"/>
  <c r="W57" i="34"/>
  <c r="W58" i="34"/>
  <c r="W59" i="34"/>
  <c r="W60" i="34"/>
  <c r="W61" i="34"/>
  <c r="W56" i="34"/>
  <c r="F18" i="66"/>
  <c r="W68" i="34" s="1"/>
  <c r="F17" i="66"/>
  <c r="W67" i="34" s="1"/>
  <c r="F16" i="66"/>
  <c r="W66" i="34" s="1"/>
  <c r="F15" i="66"/>
  <c r="W65" i="34" s="1"/>
  <c r="F14" i="66"/>
  <c r="W64" i="34" s="1"/>
  <c r="F13" i="66"/>
  <c r="W63" i="34" s="1"/>
  <c r="F12" i="66"/>
  <c r="W62" i="34" s="1"/>
  <c r="C61" i="29"/>
  <c r="W24" i="35"/>
  <c r="K12" i="44"/>
  <c r="W166" i="35"/>
  <c r="W260" i="34"/>
  <c r="W225" i="33"/>
  <c r="R5" i="64"/>
  <c r="N5" i="64"/>
  <c r="R8" i="64"/>
  <c r="W8" i="34" s="1"/>
  <c r="N8" i="64"/>
  <c r="W8" i="33" s="1"/>
  <c r="H8" i="64"/>
  <c r="W7" i="34" s="1"/>
  <c r="D8" i="64"/>
  <c r="W7" i="33" s="1"/>
  <c r="W88" i="33"/>
  <c r="W87" i="33"/>
  <c r="W75" i="35"/>
  <c r="W76" i="35"/>
  <c r="W77" i="35"/>
  <c r="W74" i="35"/>
  <c r="D75" i="35"/>
  <c r="D76" i="35"/>
  <c r="D77" i="35"/>
  <c r="D74" i="35"/>
  <c r="K19" i="36"/>
  <c r="J19" i="36"/>
  <c r="I19" i="36"/>
  <c r="H19" i="36"/>
  <c r="G19" i="36"/>
  <c r="F19" i="36"/>
  <c r="E19" i="36"/>
  <c r="D19" i="36"/>
  <c r="C19" i="36"/>
  <c r="K13" i="36"/>
  <c r="J13" i="36"/>
  <c r="I13" i="36"/>
  <c r="H13" i="36"/>
  <c r="G13" i="36"/>
  <c r="F13" i="36"/>
  <c r="E13" i="36"/>
  <c r="D13" i="36"/>
  <c r="C13" i="36"/>
  <c r="I7" i="36"/>
  <c r="J7" i="36"/>
  <c r="K7" i="36"/>
  <c r="H7" i="36"/>
  <c r="G7" i="36"/>
  <c r="F7" i="36"/>
  <c r="E7" i="36"/>
  <c r="C7" i="36"/>
  <c r="D6" i="36"/>
  <c r="I6" i="36"/>
  <c r="J6" i="36"/>
  <c r="K6" i="36"/>
  <c r="G6" i="36"/>
  <c r="J36" i="34"/>
  <c r="J35" i="34"/>
  <c r="J34" i="34"/>
  <c r="J33" i="34"/>
  <c r="J32" i="34"/>
  <c r="U8" i="41"/>
  <c r="U11" i="41" s="1"/>
  <c r="W36" i="34" s="1"/>
  <c r="T8" i="41"/>
  <c r="T11" i="41" s="1"/>
  <c r="W35" i="34" s="1"/>
  <c r="S8" i="41"/>
  <c r="S11" i="41" s="1"/>
  <c r="W34" i="34" s="1"/>
  <c r="R8" i="41"/>
  <c r="R11" i="41" s="1"/>
  <c r="W33" i="34" s="1"/>
  <c r="Q8" i="41"/>
  <c r="Q11" i="41" s="1"/>
  <c r="W32" i="34" s="1"/>
  <c r="W73" i="34"/>
  <c r="W74" i="34"/>
  <c r="W75" i="34"/>
  <c r="W76" i="34"/>
  <c r="W77" i="34"/>
  <c r="W78" i="34"/>
  <c r="W72" i="34"/>
  <c r="J73" i="34"/>
  <c r="J74" i="34"/>
  <c r="J75" i="34"/>
  <c r="J76" i="34"/>
  <c r="J77" i="34"/>
  <c r="J78" i="34"/>
  <c r="J72" i="34"/>
  <c r="W51" i="33"/>
  <c r="W52" i="33"/>
  <c r="W53" i="33"/>
  <c r="W54" i="33"/>
  <c r="W55" i="33"/>
  <c r="W56" i="33"/>
  <c r="W50" i="33"/>
  <c r="J51" i="33"/>
  <c r="J52" i="33"/>
  <c r="J53" i="33"/>
  <c r="J54" i="33"/>
  <c r="J55" i="33"/>
  <c r="J56" i="33"/>
  <c r="J50" i="33"/>
  <c r="E6" i="61"/>
  <c r="F13" i="61"/>
  <c r="F12" i="61"/>
  <c r="F11" i="61"/>
  <c r="F10" i="61"/>
  <c r="W44" i="34"/>
  <c r="W43" i="34"/>
  <c r="W42" i="34"/>
  <c r="W41" i="34"/>
  <c r="W40" i="34"/>
  <c r="W49" i="33"/>
  <c r="W48" i="33"/>
  <c r="W47" i="33"/>
  <c r="W46" i="33"/>
  <c r="W21" i="33"/>
  <c r="W20" i="33"/>
  <c r="K25" i="58"/>
  <c r="C16" i="43"/>
  <c r="C8" i="54"/>
  <c r="D8" i="58"/>
  <c r="D7" i="58"/>
  <c r="D6" i="58"/>
  <c r="E7" i="58"/>
  <c r="W38" i="34" s="1"/>
  <c r="E8" i="58"/>
  <c r="W39" i="34" s="1"/>
  <c r="E6" i="58"/>
  <c r="W37" i="34" s="1"/>
  <c r="L8" i="41"/>
  <c r="L11" i="41" s="1"/>
  <c r="W31" i="34" s="1"/>
  <c r="K8" i="41"/>
  <c r="K11" i="41" s="1"/>
  <c r="W30" i="34" s="1"/>
  <c r="J8" i="41"/>
  <c r="J11" i="41"/>
  <c r="W29" i="34" s="1"/>
  <c r="L7" i="41"/>
  <c r="L10" i="41" s="1"/>
  <c r="K7" i="41"/>
  <c r="K10" i="41" s="1"/>
  <c r="J7" i="41"/>
  <c r="J10" i="41" s="1"/>
  <c r="D68" i="35"/>
  <c r="L6" i="51"/>
  <c r="W68" i="35" s="1"/>
  <c r="AM6" i="51"/>
  <c r="D70" i="35"/>
  <c r="D71" i="35"/>
  <c r="D72" i="35"/>
  <c r="D73" i="35"/>
  <c r="D69" i="35"/>
  <c r="W70" i="35"/>
  <c r="W71" i="35"/>
  <c r="W72" i="35"/>
  <c r="W73" i="35"/>
  <c r="W69" i="35"/>
  <c r="AG6" i="51"/>
  <c r="AF6" i="51"/>
  <c r="AH6" i="51"/>
  <c r="T6" i="57"/>
  <c r="W19" i="33" s="1"/>
  <c r="W18" i="33"/>
  <c r="W17" i="33"/>
  <c r="E6" i="51"/>
  <c r="S7" i="51"/>
  <c r="S8" i="51"/>
  <c r="S9" i="51"/>
  <c r="S6" i="51"/>
  <c r="D159" i="34"/>
  <c r="D160" i="34"/>
  <c r="D161" i="34"/>
  <c r="D162" i="34"/>
  <c r="D163" i="34"/>
  <c r="D164" i="34"/>
  <c r="D165" i="34"/>
  <c r="D158" i="34"/>
  <c r="W113" i="34"/>
  <c r="W114" i="34"/>
  <c r="W115" i="34"/>
  <c r="W112" i="34"/>
  <c r="C13" i="54"/>
  <c r="C12" i="54"/>
  <c r="C11" i="54"/>
  <c r="D150" i="34"/>
  <c r="D151" i="34"/>
  <c r="D152" i="34"/>
  <c r="D153" i="34"/>
  <c r="D154" i="34"/>
  <c r="D155" i="34"/>
  <c r="D149" i="34"/>
  <c r="E6" i="52"/>
  <c r="W71" i="34"/>
  <c r="W116" i="34"/>
  <c r="D141" i="34"/>
  <c r="D142" i="34"/>
  <c r="D143" i="34"/>
  <c r="D144" i="34"/>
  <c r="D145" i="34"/>
  <c r="D146" i="34"/>
  <c r="D147" i="34"/>
  <c r="D148" i="34"/>
  <c r="D140" i="34"/>
  <c r="L30" i="47"/>
  <c r="D133" i="34"/>
  <c r="D134" i="34"/>
  <c r="D135" i="34"/>
  <c r="D136" i="34"/>
  <c r="D137" i="34"/>
  <c r="D138" i="34"/>
  <c r="D139" i="34"/>
  <c r="D132" i="34"/>
  <c r="D122" i="34"/>
  <c r="D123" i="34"/>
  <c r="D124" i="34"/>
  <c r="D125" i="34"/>
  <c r="D126" i="34"/>
  <c r="D127" i="34"/>
  <c r="D128" i="34"/>
  <c r="D129" i="34"/>
  <c r="D130" i="34"/>
  <c r="D131" i="34"/>
  <c r="D121" i="34"/>
  <c r="W136" i="35"/>
  <c r="W137" i="35"/>
  <c r="W138" i="35"/>
  <c r="W139" i="35"/>
  <c r="W140" i="35"/>
  <c r="W141" i="35"/>
  <c r="W142" i="35"/>
  <c r="W135" i="35"/>
  <c r="W128" i="35"/>
  <c r="W129" i="35"/>
  <c r="W130" i="35"/>
  <c r="W131" i="35"/>
  <c r="W132" i="35"/>
  <c r="W133" i="35"/>
  <c r="W134" i="35"/>
  <c r="W127" i="35"/>
  <c r="AC22" i="38"/>
  <c r="AC23" i="38"/>
  <c r="AC24" i="38"/>
  <c r="AC25" i="38"/>
  <c r="AC26" i="38"/>
  <c r="AC27" i="38"/>
  <c r="AC28" i="38"/>
  <c r="AC21" i="38"/>
  <c r="AB22" i="38"/>
  <c r="AB23" i="38"/>
  <c r="AB21" i="38"/>
  <c r="AB24" i="38"/>
  <c r="AB25" i="38"/>
  <c r="AB26" i="38"/>
  <c r="AB27" i="38"/>
  <c r="AB28" i="38"/>
  <c r="AA16" i="38"/>
  <c r="AA17" i="38"/>
  <c r="AA18" i="38"/>
  <c r="AA19" i="38"/>
  <c r="AA20" i="38"/>
  <c r="AA21" i="38"/>
  <c r="AA22" i="38"/>
  <c r="AA23" i="38"/>
  <c r="AA24" i="38"/>
  <c r="AA25" i="38"/>
  <c r="AA26" i="38"/>
  <c r="AA27" i="38"/>
  <c r="AA28" i="38"/>
  <c r="AA15" i="38"/>
  <c r="Z12" i="38"/>
  <c r="Z13" i="38"/>
  <c r="Z14" i="38"/>
  <c r="Z15" i="38"/>
  <c r="Z16" i="38"/>
  <c r="Z17" i="38"/>
  <c r="Z18" i="38"/>
  <c r="Z20" i="38"/>
  <c r="Z21" i="38"/>
  <c r="Z23" i="38"/>
  <c r="Z24" i="38"/>
  <c r="Z26" i="38"/>
  <c r="Z11" i="38"/>
  <c r="Y10" i="38"/>
  <c r="Y11" i="38"/>
  <c r="Y12" i="38"/>
  <c r="Y13" i="38"/>
  <c r="Y14" i="38"/>
  <c r="Y15" i="38"/>
  <c r="Y18" i="38"/>
  <c r="Y21" i="38"/>
  <c r="Y24" i="38"/>
  <c r="Y9" i="38"/>
  <c r="U24" i="38"/>
  <c r="W232" i="34" s="1"/>
  <c r="U25" i="38"/>
  <c r="W233" i="34" s="1"/>
  <c r="U26" i="38"/>
  <c r="W234" i="34" s="1"/>
  <c r="U27" i="38"/>
  <c r="W235" i="34" s="1"/>
  <c r="U28" i="38"/>
  <c r="W236" i="34" s="1"/>
  <c r="T22" i="38"/>
  <c r="W224" i="34" s="1"/>
  <c r="T23" i="38"/>
  <c r="W225" i="34" s="1"/>
  <c r="T24" i="38"/>
  <c r="W226" i="34" s="1"/>
  <c r="T25" i="38"/>
  <c r="W227" i="34" s="1"/>
  <c r="T26" i="38"/>
  <c r="W228" i="34" s="1"/>
  <c r="T27" i="38"/>
  <c r="W229" i="34" s="1"/>
  <c r="T28" i="38"/>
  <c r="W230" i="34" s="1"/>
  <c r="U23" i="38"/>
  <c r="W231" i="34" s="1"/>
  <c r="T21" i="38"/>
  <c r="W223" i="34" s="1"/>
  <c r="S28" i="38"/>
  <c r="S27" i="38"/>
  <c r="S26" i="38"/>
  <c r="S25" i="38"/>
  <c r="S24" i="38"/>
  <c r="S23" i="38"/>
  <c r="S22" i="38"/>
  <c r="S21" i="38"/>
  <c r="S20" i="38"/>
  <c r="S19" i="38"/>
  <c r="S18" i="38"/>
  <c r="S17" i="38"/>
  <c r="S16" i="38"/>
  <c r="S15" i="38"/>
  <c r="M28" i="38"/>
  <c r="M27" i="38"/>
  <c r="M26" i="38"/>
  <c r="M25" i="38"/>
  <c r="M24" i="38"/>
  <c r="M23" i="38"/>
  <c r="M22" i="38"/>
  <c r="M21" i="38"/>
  <c r="M20" i="38"/>
  <c r="M19" i="38"/>
  <c r="M18" i="38"/>
  <c r="M17" i="38"/>
  <c r="M16" i="38"/>
  <c r="M15" i="38"/>
  <c r="R26" i="38"/>
  <c r="R24" i="38"/>
  <c r="R23" i="38"/>
  <c r="R21" i="38"/>
  <c r="R20" i="38"/>
  <c r="R18" i="38"/>
  <c r="R17" i="38"/>
  <c r="R16" i="38"/>
  <c r="R15" i="38"/>
  <c r="R14" i="38"/>
  <c r="R13" i="38"/>
  <c r="R12" i="38"/>
  <c r="R11" i="38"/>
  <c r="L26" i="38"/>
  <c r="L24" i="38"/>
  <c r="L23" i="38"/>
  <c r="L21" i="38"/>
  <c r="L20" i="38"/>
  <c r="L18" i="38"/>
  <c r="L17" i="38"/>
  <c r="L16" i="38"/>
  <c r="L15" i="38"/>
  <c r="L14" i="38"/>
  <c r="L13" i="38"/>
  <c r="L12" i="38"/>
  <c r="L11" i="38"/>
  <c r="Q24" i="38"/>
  <c r="Q25" i="38" s="1"/>
  <c r="Q26" i="38" s="1"/>
  <c r="Q27" i="38" s="1"/>
  <c r="Q28" i="38" s="1"/>
  <c r="Q21" i="38"/>
  <c r="Q22" i="38" s="1"/>
  <c r="Q23" i="38" s="1"/>
  <c r="Q18" i="38"/>
  <c r="Q19" i="38" s="1"/>
  <c r="Q20" i="38" s="1"/>
  <c r="Q15" i="38"/>
  <c r="Q16" i="38" s="1"/>
  <c r="Q17" i="38" s="1"/>
  <c r="Q14" i="38"/>
  <c r="Q13" i="38"/>
  <c r="Q12" i="38"/>
  <c r="Q11" i="38"/>
  <c r="Q10" i="38"/>
  <c r="Q9" i="38"/>
  <c r="K24" i="38"/>
  <c r="K21" i="38"/>
  <c r="K18" i="38"/>
  <c r="K15" i="38"/>
  <c r="K14" i="38"/>
  <c r="K13" i="38"/>
  <c r="K12" i="38"/>
  <c r="K11" i="38"/>
  <c r="K10" i="38"/>
  <c r="K9" i="38"/>
  <c r="G16" i="38"/>
  <c r="G17" i="38"/>
  <c r="G18" i="38"/>
  <c r="G19" i="38"/>
  <c r="G20" i="38"/>
  <c r="G21" i="38"/>
  <c r="G22" i="38"/>
  <c r="G23" i="38"/>
  <c r="G24" i="38"/>
  <c r="G25" i="38"/>
  <c r="G26" i="38"/>
  <c r="G27" i="38"/>
  <c r="G28" i="38"/>
  <c r="G15" i="38"/>
  <c r="F12" i="38"/>
  <c r="F13" i="38"/>
  <c r="F14" i="38"/>
  <c r="F15" i="38"/>
  <c r="F16" i="38"/>
  <c r="F17" i="38"/>
  <c r="F18" i="38"/>
  <c r="F20" i="38"/>
  <c r="F21" i="38"/>
  <c r="F23" i="38"/>
  <c r="F24" i="38"/>
  <c r="F26" i="38"/>
  <c r="F11" i="38"/>
  <c r="E10" i="38"/>
  <c r="E11" i="38"/>
  <c r="E12" i="38"/>
  <c r="E13" i="38"/>
  <c r="E14" i="38"/>
  <c r="E15" i="38"/>
  <c r="E18" i="38"/>
  <c r="E21" i="38"/>
  <c r="E24" i="38"/>
  <c r="E9" i="38"/>
  <c r="C20" i="43"/>
  <c r="AL19" i="39"/>
  <c r="I7" i="47"/>
  <c r="I8" i="47"/>
  <c r="I6" i="47"/>
  <c r="C22" i="43" s="1"/>
  <c r="W120" i="34" s="1"/>
  <c r="C20" i="29"/>
  <c r="D20" i="29"/>
  <c r="E20" i="29"/>
  <c r="F20" i="29"/>
  <c r="G20" i="29"/>
  <c r="H20" i="29"/>
  <c r="I20" i="29"/>
  <c r="J20" i="29"/>
  <c r="AD5" i="14"/>
  <c r="H9" i="45"/>
  <c r="H10" i="45"/>
  <c r="H11" i="45"/>
  <c r="H12" i="45"/>
  <c r="H13" i="45"/>
  <c r="H14" i="45"/>
  <c r="H15" i="45"/>
  <c r="H16" i="45"/>
  <c r="H17" i="45"/>
  <c r="H18" i="45"/>
  <c r="H19" i="45"/>
  <c r="H20" i="45"/>
  <c r="H21" i="45"/>
  <c r="H8" i="45"/>
  <c r="D12" i="44"/>
  <c r="W54" i="34" s="1"/>
  <c r="K20" i="43"/>
  <c r="C18" i="43"/>
  <c r="W55" i="34"/>
  <c r="C6" i="43"/>
  <c r="C10" i="43" s="1"/>
  <c r="H52" i="29"/>
  <c r="C31" i="42"/>
  <c r="D31" i="42"/>
  <c r="E31" i="42"/>
  <c r="F31" i="42"/>
  <c r="C32" i="42"/>
  <c r="D32" i="42"/>
  <c r="E32" i="42"/>
  <c r="F32" i="42"/>
  <c r="C33" i="42"/>
  <c r="D33" i="42"/>
  <c r="E33" i="42"/>
  <c r="F33" i="42"/>
  <c r="C34" i="42"/>
  <c r="D34" i="42"/>
  <c r="E34" i="42"/>
  <c r="F34" i="42"/>
  <c r="C35" i="42"/>
  <c r="D35" i="42"/>
  <c r="E35" i="42"/>
  <c r="F35" i="42"/>
  <c r="C36" i="42"/>
  <c r="D36" i="42"/>
  <c r="E36" i="42"/>
  <c r="F36" i="42"/>
  <c r="C37" i="42"/>
  <c r="D37" i="42"/>
  <c r="E37" i="42"/>
  <c r="F37" i="42"/>
  <c r="C38" i="42"/>
  <c r="D38" i="42"/>
  <c r="E38" i="42"/>
  <c r="F38" i="42"/>
  <c r="C39" i="42"/>
  <c r="D39" i="42"/>
  <c r="E39" i="42"/>
  <c r="F39" i="42"/>
  <c r="C40" i="42"/>
  <c r="D40" i="42"/>
  <c r="E40" i="42"/>
  <c r="F40" i="42"/>
  <c r="C41" i="42"/>
  <c r="D41" i="42"/>
  <c r="E41" i="42"/>
  <c r="F41" i="42"/>
  <c r="C42" i="42"/>
  <c r="D42" i="42"/>
  <c r="E42" i="42"/>
  <c r="F42" i="42"/>
  <c r="C43" i="42"/>
  <c r="D43" i="42"/>
  <c r="E43" i="42"/>
  <c r="F43" i="42"/>
  <c r="C44" i="42"/>
  <c r="D44" i="42"/>
  <c r="E44" i="42"/>
  <c r="F44" i="42"/>
  <c r="C45" i="42"/>
  <c r="D45" i="42"/>
  <c r="E45" i="42"/>
  <c r="F45" i="42"/>
  <c r="C46" i="42"/>
  <c r="D46" i="42"/>
  <c r="E46" i="42"/>
  <c r="F46" i="42"/>
  <c r="C47" i="42"/>
  <c r="D47" i="42"/>
  <c r="E47" i="42"/>
  <c r="F47" i="42"/>
  <c r="C48" i="42"/>
  <c r="D48" i="42"/>
  <c r="E48" i="42"/>
  <c r="F48" i="42"/>
  <c r="C49" i="42"/>
  <c r="D49" i="42"/>
  <c r="E49" i="42"/>
  <c r="F49" i="42"/>
  <c r="C50" i="42"/>
  <c r="D50" i="42"/>
  <c r="E50" i="42"/>
  <c r="F50" i="42"/>
  <c r="D30" i="42"/>
  <c r="E30" i="42"/>
  <c r="F30" i="42"/>
  <c r="C30" i="42"/>
  <c r="H30" i="42" s="1"/>
  <c r="C26" i="22"/>
  <c r="C25" i="22"/>
  <c r="C24" i="22"/>
  <c r="C23" i="22"/>
  <c r="C22" i="22"/>
  <c r="C21" i="22"/>
  <c r="C20" i="22"/>
  <c r="C19" i="22"/>
  <c r="C18" i="22"/>
  <c r="C17" i="22"/>
  <c r="C16" i="22"/>
  <c r="C15" i="22"/>
  <c r="C14" i="22"/>
  <c r="C12" i="22"/>
  <c r="C13" i="22"/>
  <c r="C11" i="22"/>
  <c r="C10" i="22"/>
  <c r="C7" i="22"/>
  <c r="C8" i="22"/>
  <c r="C9" i="22"/>
  <c r="C6" i="22"/>
  <c r="C5" i="22"/>
  <c r="L21" i="22"/>
  <c r="L20" i="22"/>
  <c r="L18" i="22"/>
  <c r="K14" i="36"/>
  <c r="E7" i="41"/>
  <c r="D7" i="41"/>
  <c r="C7" i="41"/>
  <c r="AB5" i="14"/>
  <c r="C52" i="29"/>
  <c r="C21" i="29"/>
  <c r="W220" i="33"/>
  <c r="W221" i="33"/>
  <c r="W222" i="33"/>
  <c r="W223" i="33"/>
  <c r="W219" i="33"/>
  <c r="W218" i="33"/>
  <c r="W217" i="33"/>
  <c r="W216" i="33"/>
  <c r="W254" i="34"/>
  <c r="W255" i="34"/>
  <c r="W256" i="34"/>
  <c r="W257" i="34"/>
  <c r="W258" i="34"/>
  <c r="W253" i="34"/>
  <c r="W252" i="34"/>
  <c r="W251" i="34"/>
  <c r="G14" i="26"/>
  <c r="W164" i="35" s="1"/>
  <c r="G13" i="26"/>
  <c r="W163" i="35" s="1"/>
  <c r="G12" i="26"/>
  <c r="W162" i="35" s="1"/>
  <c r="G11" i="26"/>
  <c r="W161" i="35" s="1"/>
  <c r="G10" i="26"/>
  <c r="W160" i="35" s="1"/>
  <c r="G9" i="26"/>
  <c r="W159" i="35" s="1"/>
  <c r="G8" i="26"/>
  <c r="G7" i="26"/>
  <c r="G6" i="26"/>
  <c r="W157" i="35" s="1"/>
  <c r="G5" i="26"/>
  <c r="W15" i="35"/>
  <c r="W14" i="35"/>
  <c r="W13" i="35"/>
  <c r="W12" i="35"/>
  <c r="W11" i="35"/>
  <c r="W10" i="35"/>
  <c r="W9" i="35"/>
  <c r="W8" i="35"/>
  <c r="W7" i="35"/>
  <c r="D14" i="36"/>
  <c r="W10" i="34" s="1"/>
  <c r="E14" i="36"/>
  <c r="W11" i="34" s="1"/>
  <c r="F14" i="36"/>
  <c r="W12" i="34" s="1"/>
  <c r="G14" i="36"/>
  <c r="W13" i="34" s="1"/>
  <c r="H14" i="36"/>
  <c r="W14" i="34" s="1"/>
  <c r="I14" i="36"/>
  <c r="W15" i="34" s="1"/>
  <c r="J14" i="36"/>
  <c r="W16" i="34" s="1"/>
  <c r="W17" i="34"/>
  <c r="C14" i="36"/>
  <c r="W9" i="34" s="1"/>
  <c r="L7" i="40"/>
  <c r="L8" i="40"/>
  <c r="K7" i="40"/>
  <c r="K8" i="40"/>
  <c r="J7" i="40"/>
  <c r="J8" i="40"/>
  <c r="I7" i="40"/>
  <c r="H7" i="40"/>
  <c r="G7" i="40"/>
  <c r="F7" i="40"/>
  <c r="E7" i="40"/>
  <c r="D7" i="40"/>
  <c r="C7" i="40"/>
  <c r="W195" i="33"/>
  <c r="W196" i="33"/>
  <c r="W197" i="33"/>
  <c r="W198" i="33"/>
  <c r="W199" i="33"/>
  <c r="W200" i="33"/>
  <c r="W201" i="33"/>
  <c r="W194" i="33"/>
  <c r="W27" i="35"/>
  <c r="W28" i="35"/>
  <c r="W29" i="35"/>
  <c r="W30" i="35"/>
  <c r="W31" i="35"/>
  <c r="W32" i="35"/>
  <c r="W33" i="35"/>
  <c r="W34" i="35"/>
  <c r="W35" i="35"/>
  <c r="W36" i="35"/>
  <c r="W37" i="35"/>
  <c r="W38" i="35"/>
  <c r="W39" i="35"/>
  <c r="W40" i="35"/>
  <c r="W41" i="35"/>
  <c r="W42" i="35"/>
  <c r="W43" i="35"/>
  <c r="W44" i="35"/>
  <c r="W45" i="35"/>
  <c r="W46" i="35"/>
  <c r="W47" i="35"/>
  <c r="W48" i="35"/>
  <c r="W49" i="35"/>
  <c r="W50" i="35"/>
  <c r="W51" i="35"/>
  <c r="W52" i="35"/>
  <c r="W53" i="35"/>
  <c r="W54" i="35"/>
  <c r="W55" i="35"/>
  <c r="W56" i="35"/>
  <c r="W57" i="35"/>
  <c r="W58" i="35"/>
  <c r="W59" i="35"/>
  <c r="W60" i="35"/>
  <c r="W61" i="35"/>
  <c r="W62" i="35"/>
  <c r="W63" i="35"/>
  <c r="W64" i="35"/>
  <c r="W65" i="35"/>
  <c r="W66" i="35"/>
  <c r="W67" i="35"/>
  <c r="W26" i="35"/>
  <c r="AD25" i="14"/>
  <c r="AD26" i="14"/>
  <c r="AD27" i="14"/>
  <c r="AD28" i="14"/>
  <c r="AD29" i="14"/>
  <c r="AD30" i="14"/>
  <c r="AD31" i="14"/>
  <c r="AD32" i="14"/>
  <c r="AD33" i="14"/>
  <c r="AD34" i="14"/>
  <c r="AD35" i="14"/>
  <c r="AD36" i="14"/>
  <c r="AD37" i="14"/>
  <c r="AD38" i="14"/>
  <c r="AD6" i="14"/>
  <c r="AD7" i="14"/>
  <c r="AD8" i="14"/>
  <c r="AD9" i="14"/>
  <c r="AD10" i="14"/>
  <c r="AD11" i="14"/>
  <c r="AD12" i="14"/>
  <c r="AD13" i="14"/>
  <c r="AD14" i="14"/>
  <c r="AD15" i="14"/>
  <c r="AD16" i="14"/>
  <c r="AD17" i="14"/>
  <c r="AD18" i="14"/>
  <c r="AD19" i="14"/>
  <c r="AD20" i="14"/>
  <c r="AD21" i="14"/>
  <c r="AD22" i="14"/>
  <c r="AD23" i="14"/>
  <c r="AD24" i="14"/>
  <c r="AB6" i="14"/>
  <c r="AB7" i="14"/>
  <c r="AB8" i="14"/>
  <c r="AB9" i="14"/>
  <c r="AB10" i="14"/>
  <c r="AB11" i="14"/>
  <c r="AB12" i="14"/>
  <c r="AB13" i="14"/>
  <c r="AB14" i="14"/>
  <c r="AB15" i="14"/>
  <c r="AB16" i="14"/>
  <c r="AB17" i="14"/>
  <c r="AB18" i="14"/>
  <c r="AB19" i="14"/>
  <c r="AB20" i="14"/>
  <c r="AB21" i="14"/>
  <c r="AB22" i="14"/>
  <c r="AB23" i="14"/>
  <c r="AB24" i="14"/>
  <c r="AB25" i="14"/>
  <c r="AB26" i="14"/>
  <c r="AB27" i="14"/>
  <c r="AB28" i="14"/>
  <c r="AB29" i="14"/>
  <c r="AB30" i="14"/>
  <c r="AB31" i="14"/>
  <c r="AB32" i="14"/>
  <c r="AB33" i="14"/>
  <c r="AB34" i="14"/>
  <c r="AB35" i="14"/>
  <c r="AB36" i="14"/>
  <c r="AB37" i="14"/>
  <c r="AB38" i="14"/>
  <c r="AO50" i="39"/>
  <c r="AP50" i="39" s="1"/>
  <c r="AO51" i="39"/>
  <c r="AP51" i="39" s="1"/>
  <c r="AO49" i="39"/>
  <c r="AP49" i="39" s="1"/>
  <c r="AK49" i="39"/>
  <c r="AK50" i="39"/>
  <c r="AK51" i="39"/>
  <c r="AK30" i="39"/>
  <c r="AL30" i="39"/>
  <c r="I6" i="40" s="1"/>
  <c r="AL16" i="39"/>
  <c r="K5" i="40" s="1"/>
  <c r="AL17" i="39"/>
  <c r="J5" i="40" s="1"/>
  <c r="AL18" i="39"/>
  <c r="I5" i="40" s="1"/>
  <c r="H5" i="40"/>
  <c r="AL20" i="39"/>
  <c r="G5" i="40" s="1"/>
  <c r="AL21" i="39"/>
  <c r="F5" i="40" s="1"/>
  <c r="AL22" i="39"/>
  <c r="E5" i="40" s="1"/>
  <c r="AL23" i="39"/>
  <c r="D5" i="40" s="1"/>
  <c r="AL24" i="39"/>
  <c r="C5" i="40" s="1"/>
  <c r="AL25" i="39"/>
  <c r="AL5" i="39"/>
  <c r="R5" i="39" s="1"/>
  <c r="AL6" i="39"/>
  <c r="AL7" i="39"/>
  <c r="AL8" i="39"/>
  <c r="AL9" i="39"/>
  <c r="AL10" i="39"/>
  <c r="AL11" i="39"/>
  <c r="AL12" i="39"/>
  <c r="AL13" i="39"/>
  <c r="AL4" i="39"/>
  <c r="AC50" i="39"/>
  <c r="AD50" i="39"/>
  <c r="AC51" i="39"/>
  <c r="AD51" i="39"/>
  <c r="AD49" i="39"/>
  <c r="AC49" i="39"/>
  <c r="AC39" i="39"/>
  <c r="AD39" i="39"/>
  <c r="AC40" i="39"/>
  <c r="AD40" i="39"/>
  <c r="AC41" i="39"/>
  <c r="AD41" i="39"/>
  <c r="AC42" i="39"/>
  <c r="AD42" i="39"/>
  <c r="AD38" i="39"/>
  <c r="AC38" i="39"/>
  <c r="AC30" i="39"/>
  <c r="AD30" i="39"/>
  <c r="Q50" i="39"/>
  <c r="R50" i="39"/>
  <c r="S50" i="39"/>
  <c r="T50" i="39"/>
  <c r="Q51" i="39"/>
  <c r="R51" i="39"/>
  <c r="S51" i="39"/>
  <c r="T51" i="39"/>
  <c r="T49" i="39"/>
  <c r="S49" i="39"/>
  <c r="R49" i="39"/>
  <c r="Q49" i="39"/>
  <c r="Q39" i="39"/>
  <c r="R39" i="39"/>
  <c r="S39" i="39"/>
  <c r="T39" i="39"/>
  <c r="Q40" i="39"/>
  <c r="R40" i="39"/>
  <c r="S40" i="39"/>
  <c r="T40" i="39"/>
  <c r="Q41" i="39"/>
  <c r="R41" i="39"/>
  <c r="S41" i="39"/>
  <c r="T41" i="39"/>
  <c r="Q42" i="39"/>
  <c r="R42" i="39"/>
  <c r="S42" i="39"/>
  <c r="T42" i="39"/>
  <c r="Q43" i="39"/>
  <c r="R43" i="39"/>
  <c r="S43" i="39"/>
  <c r="T43" i="39"/>
  <c r="Q44" i="39"/>
  <c r="R44" i="39"/>
  <c r="S44" i="39"/>
  <c r="T44" i="39"/>
  <c r="Q45" i="39"/>
  <c r="R45" i="39"/>
  <c r="S45" i="39"/>
  <c r="T45" i="39"/>
  <c r="Q46" i="39"/>
  <c r="R46" i="39"/>
  <c r="S46" i="39"/>
  <c r="T46" i="39"/>
  <c r="Q47" i="39"/>
  <c r="R47" i="39"/>
  <c r="S47" i="39"/>
  <c r="T47" i="39"/>
  <c r="T38" i="39"/>
  <c r="S38" i="39"/>
  <c r="R38" i="39"/>
  <c r="Q38" i="39"/>
  <c r="Q30" i="39"/>
  <c r="R30" i="39"/>
  <c r="S30" i="39"/>
  <c r="T30" i="39"/>
  <c r="C8" i="36"/>
  <c r="D14" i="40"/>
  <c r="D22" i="40" s="1"/>
  <c r="E14" i="40"/>
  <c r="E22" i="40" s="1"/>
  <c r="F14" i="40"/>
  <c r="F22" i="40" s="1"/>
  <c r="G14" i="40"/>
  <c r="G22" i="40" s="1"/>
  <c r="H14" i="40"/>
  <c r="H22" i="40" s="1"/>
  <c r="I14" i="40"/>
  <c r="I22" i="40" s="1"/>
  <c r="J14" i="40"/>
  <c r="J22" i="40" s="1"/>
  <c r="K14" i="40"/>
  <c r="K22" i="40" s="1"/>
  <c r="L14" i="40"/>
  <c r="L22" i="40" s="1"/>
  <c r="C14" i="40"/>
  <c r="B16" i="40"/>
  <c r="B17" i="40"/>
  <c r="B18" i="40"/>
  <c r="B19" i="40"/>
  <c r="B20" i="40"/>
  <c r="B15" i="40"/>
  <c r="B28" i="40"/>
  <c r="B24" i="40"/>
  <c r="B25" i="40"/>
  <c r="B26" i="40"/>
  <c r="B27" i="40"/>
  <c r="B23" i="40"/>
  <c r="AB51" i="39"/>
  <c r="W118" i="35" s="1"/>
  <c r="AB50" i="39"/>
  <c r="W117" i="35" s="1"/>
  <c r="AB49" i="39"/>
  <c r="W116" i="35" s="1"/>
  <c r="AB42" i="39"/>
  <c r="W114" i="35" s="1"/>
  <c r="AB41" i="39"/>
  <c r="W113" i="35" s="1"/>
  <c r="AB40" i="39"/>
  <c r="W112" i="35" s="1"/>
  <c r="AB39" i="39"/>
  <c r="W111" i="35" s="1"/>
  <c r="AB38" i="39"/>
  <c r="W110" i="35" s="1"/>
  <c r="AH36" i="39"/>
  <c r="AH35" i="39"/>
  <c r="AH34" i="39"/>
  <c r="AH33" i="39"/>
  <c r="AH32" i="39"/>
  <c r="AH31" i="39"/>
  <c r="AH30" i="39"/>
  <c r="AB30" i="39"/>
  <c r="W102" i="35" s="1"/>
  <c r="AH29" i="39"/>
  <c r="AH28" i="39"/>
  <c r="AH27" i="39"/>
  <c r="AH25" i="39"/>
  <c r="AH24" i="39"/>
  <c r="AH23" i="39"/>
  <c r="AH22" i="39"/>
  <c r="AH21" i="39"/>
  <c r="AH20" i="39"/>
  <c r="AH19" i="39"/>
  <c r="AH18" i="39"/>
  <c r="AH17" i="39"/>
  <c r="AH16" i="39"/>
  <c r="AH15" i="39"/>
  <c r="AF4" i="39"/>
  <c r="Z36" i="39"/>
  <c r="Z35" i="39"/>
  <c r="Z34" i="39"/>
  <c r="Z33" i="39"/>
  <c r="Z32" i="39"/>
  <c r="Z31" i="39"/>
  <c r="Z30" i="39"/>
  <c r="Z29" i="39"/>
  <c r="Z28" i="39"/>
  <c r="Z27" i="39"/>
  <c r="Z25" i="39"/>
  <c r="Z24" i="39"/>
  <c r="Z23" i="39"/>
  <c r="Z22" i="39"/>
  <c r="Z21" i="39"/>
  <c r="Z20" i="39"/>
  <c r="Z19" i="39"/>
  <c r="Z18" i="39"/>
  <c r="Z17" i="39"/>
  <c r="Z16" i="39"/>
  <c r="Z15" i="39"/>
  <c r="Z13" i="39"/>
  <c r="Z12" i="39"/>
  <c r="Z11" i="39"/>
  <c r="Z10" i="39"/>
  <c r="Z9" i="39"/>
  <c r="Z8" i="39"/>
  <c r="Z7" i="39"/>
  <c r="Z6" i="39"/>
  <c r="Z5" i="39"/>
  <c r="Z4" i="39"/>
  <c r="I51" i="39"/>
  <c r="H51" i="39"/>
  <c r="G51" i="39"/>
  <c r="F51" i="39" s="1"/>
  <c r="W185" i="33" s="1"/>
  <c r="I50" i="39"/>
  <c r="H50" i="39"/>
  <c r="G50" i="39"/>
  <c r="F50" i="39" s="1"/>
  <c r="W184" i="33" s="1"/>
  <c r="I49" i="39"/>
  <c r="H49" i="39"/>
  <c r="G49" i="39"/>
  <c r="F49" i="39" s="1"/>
  <c r="W183" i="33" s="1"/>
  <c r="I47" i="39"/>
  <c r="H47" i="39"/>
  <c r="G47" i="39"/>
  <c r="F47" i="39" s="1"/>
  <c r="W181" i="33" s="1"/>
  <c r="I46" i="39"/>
  <c r="H46" i="39"/>
  <c r="G46" i="39"/>
  <c r="F46" i="39" s="1"/>
  <c r="W180" i="33" s="1"/>
  <c r="I45" i="39"/>
  <c r="H45" i="39"/>
  <c r="G45" i="39"/>
  <c r="F45" i="39" s="1"/>
  <c r="W179" i="33" s="1"/>
  <c r="I44" i="39"/>
  <c r="H44" i="39"/>
  <c r="G44" i="39"/>
  <c r="F44" i="39" s="1"/>
  <c r="W178" i="33" s="1"/>
  <c r="I43" i="39"/>
  <c r="H43" i="39"/>
  <c r="G43" i="39"/>
  <c r="F43" i="39" s="1"/>
  <c r="W177" i="33" s="1"/>
  <c r="I42" i="39"/>
  <c r="H42" i="39"/>
  <c r="G42" i="39"/>
  <c r="F42" i="39" s="1"/>
  <c r="W176" i="33" s="1"/>
  <c r="I41" i="39"/>
  <c r="H41" i="39"/>
  <c r="G41" i="39"/>
  <c r="F41" i="39" s="1"/>
  <c r="W175" i="33" s="1"/>
  <c r="I40" i="39"/>
  <c r="H40" i="39"/>
  <c r="G40" i="39"/>
  <c r="F40" i="39" s="1"/>
  <c r="W174" i="33" s="1"/>
  <c r="I39" i="39"/>
  <c r="H39" i="39"/>
  <c r="G39" i="39"/>
  <c r="F39" i="39" s="1"/>
  <c r="W173" i="33" s="1"/>
  <c r="I38" i="39"/>
  <c r="H38" i="39"/>
  <c r="G38" i="39"/>
  <c r="F38" i="39" s="1"/>
  <c r="W172" i="33" s="1"/>
  <c r="I30" i="39"/>
  <c r="H30" i="39"/>
  <c r="G30" i="39"/>
  <c r="F30" i="39" s="1"/>
  <c r="W164" i="33" s="1"/>
  <c r="I25" i="39"/>
  <c r="H25" i="39"/>
  <c r="G25" i="39"/>
  <c r="F25" i="39" s="1"/>
  <c r="W159" i="33" s="1"/>
  <c r="I24" i="39"/>
  <c r="H24" i="39"/>
  <c r="G24" i="39"/>
  <c r="F24" i="39" s="1"/>
  <c r="W158" i="33" s="1"/>
  <c r="I23" i="39"/>
  <c r="H23" i="39"/>
  <c r="G23" i="39"/>
  <c r="F23" i="39" s="1"/>
  <c r="W157" i="33" s="1"/>
  <c r="I22" i="39"/>
  <c r="H22" i="39"/>
  <c r="G22" i="39"/>
  <c r="F22" i="39" s="1"/>
  <c r="W156" i="33" s="1"/>
  <c r="I21" i="39"/>
  <c r="H21" i="39"/>
  <c r="G21" i="39"/>
  <c r="F21" i="39" s="1"/>
  <c r="W155" i="33" s="1"/>
  <c r="I20" i="39"/>
  <c r="H20" i="39"/>
  <c r="G20" i="39"/>
  <c r="F20" i="39" s="1"/>
  <c r="W154" i="33" s="1"/>
  <c r="I19" i="39"/>
  <c r="H19" i="39"/>
  <c r="G19" i="39"/>
  <c r="F19" i="39" s="1"/>
  <c r="W153" i="33" s="1"/>
  <c r="I18" i="39"/>
  <c r="H18" i="39"/>
  <c r="G18" i="39"/>
  <c r="F18" i="39" s="1"/>
  <c r="W152" i="33" s="1"/>
  <c r="I17" i="39"/>
  <c r="H17" i="39"/>
  <c r="G17" i="39"/>
  <c r="F17" i="39" s="1"/>
  <c r="W151" i="33" s="1"/>
  <c r="I16" i="39"/>
  <c r="H16" i="39"/>
  <c r="G16" i="39"/>
  <c r="F16" i="39" s="1"/>
  <c r="W150" i="33" s="1"/>
  <c r="AK15" i="39"/>
  <c r="AL15" i="39" s="1"/>
  <c r="L5" i="40" s="1"/>
  <c r="I13" i="39"/>
  <c r="H13" i="39"/>
  <c r="G13" i="39"/>
  <c r="F13" i="39" s="1"/>
  <c r="W147" i="33" s="1"/>
  <c r="I12" i="39"/>
  <c r="H12" i="39"/>
  <c r="G12" i="39"/>
  <c r="F12" i="39" s="1"/>
  <c r="W146" i="33" s="1"/>
  <c r="I11" i="39"/>
  <c r="H11" i="39"/>
  <c r="G11" i="39"/>
  <c r="F11" i="39" s="1"/>
  <c r="W145" i="33" s="1"/>
  <c r="I10" i="39"/>
  <c r="H10" i="39"/>
  <c r="G10" i="39"/>
  <c r="I9" i="39"/>
  <c r="H9" i="39"/>
  <c r="G9" i="39"/>
  <c r="I8" i="39"/>
  <c r="H8" i="39"/>
  <c r="G8" i="39"/>
  <c r="I7" i="39"/>
  <c r="H7" i="39"/>
  <c r="G7" i="39"/>
  <c r="I6" i="39"/>
  <c r="H6" i="39"/>
  <c r="G6" i="39"/>
  <c r="I5" i="39"/>
  <c r="H5" i="39"/>
  <c r="G5" i="39"/>
  <c r="AD4" i="39"/>
  <c r="I4" i="39"/>
  <c r="H4" i="39"/>
  <c r="G4" i="39"/>
  <c r="F4" i="39" s="1"/>
  <c r="W138" i="33" s="1"/>
  <c r="AN54" i="38"/>
  <c r="AN53" i="38"/>
  <c r="AN52" i="38"/>
  <c r="AN51" i="38"/>
  <c r="AN50" i="38"/>
  <c r="AN46" i="38"/>
  <c r="AN45" i="38"/>
  <c r="AN44" i="38"/>
  <c r="AN43" i="38"/>
  <c r="AN42" i="38"/>
  <c r="AN41" i="38"/>
  <c r="D8" i="36"/>
  <c r="W36" i="33" s="1"/>
  <c r="E8" i="36"/>
  <c r="W37" i="33" s="1"/>
  <c r="F8" i="36"/>
  <c r="W38" i="33" s="1"/>
  <c r="G8" i="36"/>
  <c r="W39" i="33" s="1"/>
  <c r="H8" i="36"/>
  <c r="I8" i="36"/>
  <c r="J8" i="36"/>
  <c r="W42" i="33" s="1"/>
  <c r="K8" i="36"/>
  <c r="W43" i="33" s="1"/>
  <c r="W35" i="33"/>
  <c r="H50" i="42" l="1"/>
  <c r="L11" i="40" s="1"/>
  <c r="H49" i="42"/>
  <c r="K11" i="40" s="1"/>
  <c r="H48" i="42"/>
  <c r="J11" i="40" s="1"/>
  <c r="H47" i="42"/>
  <c r="I11" i="40" s="1"/>
  <c r="H46" i="42"/>
  <c r="H11" i="40" s="1"/>
  <c r="H45" i="42"/>
  <c r="G11" i="40" s="1"/>
  <c r="H44" i="42"/>
  <c r="F11" i="40" s="1"/>
  <c r="H43" i="42"/>
  <c r="E11" i="40" s="1"/>
  <c r="H42" i="42"/>
  <c r="D11" i="40" s="1"/>
  <c r="H41" i="42"/>
  <c r="C11" i="40" s="1"/>
  <c r="H40" i="42"/>
  <c r="H39" i="42"/>
  <c r="H38" i="42"/>
  <c r="H37" i="42"/>
  <c r="H36" i="42"/>
  <c r="H35" i="42"/>
  <c r="H34" i="42"/>
  <c r="H33" i="42"/>
  <c r="H32" i="42"/>
  <c r="H31" i="42"/>
  <c r="C9" i="41"/>
  <c r="W23" i="33" s="1"/>
  <c r="D9" i="41"/>
  <c r="W24" i="33" s="1"/>
  <c r="E9" i="41"/>
  <c r="W25" i="33" s="1"/>
  <c r="E7" i="55"/>
  <c r="W159" i="34" s="1"/>
  <c r="E8" i="55"/>
  <c r="W160" i="34" s="1"/>
  <c r="E9" i="55"/>
  <c r="W161" i="34" s="1"/>
  <c r="E10" i="55"/>
  <c r="W162" i="34" s="1"/>
  <c r="E11" i="55"/>
  <c r="W163" i="34" s="1"/>
  <c r="E12" i="55"/>
  <c r="W164" i="34" s="1"/>
  <c r="E13" i="55"/>
  <c r="W165" i="34" s="1"/>
  <c r="E6" i="55"/>
  <c r="W158" i="34" s="1"/>
  <c r="K8" i="45"/>
  <c r="J8" i="45"/>
  <c r="K21" i="45"/>
  <c r="J21" i="45"/>
  <c r="K20" i="45"/>
  <c r="J20" i="45"/>
  <c r="K19" i="45"/>
  <c r="J19" i="45"/>
  <c r="K18" i="45"/>
  <c r="J18" i="45"/>
  <c r="K17" i="45"/>
  <c r="J17" i="45"/>
  <c r="K16" i="45"/>
  <c r="J16" i="45"/>
  <c r="K15" i="45"/>
  <c r="J15" i="45"/>
  <c r="K14" i="45"/>
  <c r="J14" i="45"/>
  <c r="K13" i="45"/>
  <c r="J13" i="45"/>
  <c r="K12" i="45"/>
  <c r="J12" i="45"/>
  <c r="K11" i="45"/>
  <c r="J11" i="45"/>
  <c r="K10" i="45"/>
  <c r="J10" i="45"/>
  <c r="K9" i="45"/>
  <c r="J9" i="45"/>
  <c r="K26" i="58"/>
  <c r="K27" i="58"/>
  <c r="E7" i="54"/>
  <c r="E13" i="54" s="1"/>
  <c r="W157" i="34" s="1"/>
  <c r="E6" i="54"/>
  <c r="E12" i="54" s="1"/>
  <c r="W156" i="34" s="1"/>
  <c r="N30" i="47"/>
  <c r="W140" i="34" s="1"/>
  <c r="D7" i="53"/>
  <c r="W150" i="34" s="1"/>
  <c r="D8" i="53"/>
  <c r="W151" i="34" s="1"/>
  <c r="D9" i="53"/>
  <c r="W152" i="34" s="1"/>
  <c r="D10" i="53"/>
  <c r="W153" i="34" s="1"/>
  <c r="D11" i="53"/>
  <c r="W154" i="34" s="1"/>
  <c r="D12" i="53"/>
  <c r="W155" i="34" s="1"/>
  <c r="D6" i="53"/>
  <c r="W149" i="34" s="1"/>
  <c r="E9" i="52"/>
  <c r="W110" i="34" s="1"/>
  <c r="E10" i="52"/>
  <c r="W111" i="34" s="1"/>
  <c r="E11" i="52"/>
  <c r="E8" i="52"/>
  <c r="W109" i="34" s="1"/>
  <c r="E8" i="51"/>
  <c r="W118" i="34" s="1"/>
  <c r="E9" i="51"/>
  <c r="W119" i="34" s="1"/>
  <c r="E7" i="51"/>
  <c r="W117" i="34" s="1"/>
  <c r="E8" i="50"/>
  <c r="W142" i="34" s="1"/>
  <c r="E9" i="50"/>
  <c r="W143" i="34" s="1"/>
  <c r="E10" i="50"/>
  <c r="W144" i="34" s="1"/>
  <c r="E11" i="50"/>
  <c r="W145" i="34" s="1"/>
  <c r="E12" i="50"/>
  <c r="W146" i="34" s="1"/>
  <c r="E13" i="50"/>
  <c r="W147" i="34" s="1"/>
  <c r="E14" i="50"/>
  <c r="W148" i="34" s="1"/>
  <c r="E7" i="50"/>
  <c r="W141" i="34" s="1"/>
  <c r="O9" i="47"/>
  <c r="W132" i="34" s="1"/>
  <c r="O10" i="47"/>
  <c r="W133" i="34" s="1"/>
  <c r="O11" i="47"/>
  <c r="W134" i="34" s="1"/>
  <c r="O12" i="47"/>
  <c r="W135" i="34" s="1"/>
  <c r="O13" i="47"/>
  <c r="W136" i="34" s="1"/>
  <c r="O14" i="47"/>
  <c r="W137" i="34" s="1"/>
  <c r="O15" i="47"/>
  <c r="W138" i="34" s="1"/>
  <c r="O16" i="47"/>
  <c r="W139" i="34" s="1"/>
  <c r="N9" i="47"/>
  <c r="W122" i="34" s="1"/>
  <c r="N10" i="47"/>
  <c r="W123" i="34" s="1"/>
  <c r="N11" i="47"/>
  <c r="W124" i="34" s="1"/>
  <c r="N12" i="47"/>
  <c r="W125" i="34" s="1"/>
  <c r="N13" i="47"/>
  <c r="W126" i="34" s="1"/>
  <c r="N14" i="47"/>
  <c r="W127" i="34" s="1"/>
  <c r="N15" i="47"/>
  <c r="W128" i="34" s="1"/>
  <c r="N16" i="47"/>
  <c r="W129" i="34" s="1"/>
  <c r="N17" i="47"/>
  <c r="W130" i="34" s="1"/>
  <c r="N18" i="47"/>
  <c r="W131" i="34" s="1"/>
  <c r="N8" i="47"/>
  <c r="W121" i="34" s="1"/>
  <c r="AC6" i="14"/>
  <c r="W81" i="34" s="1"/>
  <c r="AC7" i="14"/>
  <c r="W82" i="34" s="1"/>
  <c r="AC8" i="14"/>
  <c r="W83" i="34" s="1"/>
  <c r="AC9" i="14"/>
  <c r="W84" i="34" s="1"/>
  <c r="AC10" i="14"/>
  <c r="W85" i="34" s="1"/>
  <c r="AC11" i="14"/>
  <c r="W86" i="34" s="1"/>
  <c r="AC12" i="14"/>
  <c r="W87" i="34" s="1"/>
  <c r="AC13" i="14"/>
  <c r="W88" i="34" s="1"/>
  <c r="AC14" i="14"/>
  <c r="W89" i="34" s="1"/>
  <c r="AC15" i="14"/>
  <c r="W90" i="34" s="1"/>
  <c r="AC16" i="14"/>
  <c r="W91" i="34" s="1"/>
  <c r="AC17" i="14"/>
  <c r="W92" i="34" s="1"/>
  <c r="AC18" i="14"/>
  <c r="W93" i="34" s="1"/>
  <c r="AC19" i="14"/>
  <c r="W94" i="34" s="1"/>
  <c r="AC20" i="14"/>
  <c r="W95" i="34" s="1"/>
  <c r="AC21" i="14"/>
  <c r="W96" i="34" s="1"/>
  <c r="AC22" i="14"/>
  <c r="W97" i="34" s="1"/>
  <c r="AC23" i="14"/>
  <c r="W98" i="34" s="1"/>
  <c r="AC24" i="14"/>
  <c r="W99" i="34" s="1"/>
  <c r="AC25" i="14"/>
  <c r="W100" i="34" s="1"/>
  <c r="AC26" i="14"/>
  <c r="W101" i="34" s="1"/>
  <c r="AC27" i="14"/>
  <c r="W102" i="34" s="1"/>
  <c r="AC28" i="14"/>
  <c r="W103" i="34" s="1"/>
  <c r="AC29" i="14"/>
  <c r="W104" i="34" s="1"/>
  <c r="AC30" i="14"/>
  <c r="W105" i="34" s="1"/>
  <c r="AC31" i="14"/>
  <c r="W106" i="34" s="1"/>
  <c r="AC32" i="14"/>
  <c r="W107" i="34" s="1"/>
  <c r="AC33" i="14"/>
  <c r="W108" i="34" s="1"/>
  <c r="AC34" i="14"/>
  <c r="AC35" i="14"/>
  <c r="AC36" i="14"/>
  <c r="AC37" i="14"/>
  <c r="AC38" i="14"/>
  <c r="AC5" i="14"/>
  <c r="W80" i="34" s="1"/>
  <c r="D5" i="46"/>
  <c r="D12" i="46"/>
  <c r="D13" i="46"/>
  <c r="D14" i="46"/>
  <c r="D17" i="46"/>
  <c r="D18" i="46"/>
  <c r="D19" i="46"/>
  <c r="D20" i="46"/>
  <c r="D21" i="46"/>
  <c r="D22" i="46"/>
  <c r="D23" i="46"/>
  <c r="D24" i="46"/>
  <c r="D25" i="46"/>
  <c r="D26" i="46"/>
  <c r="D31" i="46"/>
  <c r="D39" i="46"/>
  <c r="D40" i="46"/>
  <c r="D41" i="46"/>
  <c r="D42" i="46"/>
  <c r="D43" i="46"/>
  <c r="D44" i="46"/>
  <c r="D45" i="46"/>
  <c r="D46" i="46"/>
  <c r="D47" i="46"/>
  <c r="D48" i="46"/>
  <c r="D50" i="46"/>
  <c r="D51" i="46"/>
  <c r="D52" i="46"/>
  <c r="C15" i="43"/>
  <c r="C21" i="43"/>
  <c r="L4" i="40"/>
  <c r="C4" i="40"/>
  <c r="D4" i="40"/>
  <c r="E4" i="40"/>
  <c r="F4" i="40"/>
  <c r="G4" i="40"/>
  <c r="H4" i="40"/>
  <c r="I4" i="40"/>
  <c r="J4" i="40"/>
  <c r="K4" i="40"/>
  <c r="AP53" i="39"/>
  <c r="AL53" i="39" s="1"/>
  <c r="H8" i="40" s="1"/>
  <c r="AP54" i="39"/>
  <c r="AL54" i="39" s="1"/>
  <c r="G8" i="40" s="1"/>
  <c r="AP55" i="39"/>
  <c r="AL55" i="39" s="1"/>
  <c r="F8" i="40" s="1"/>
  <c r="AP56" i="39"/>
  <c r="AL56" i="39" s="1"/>
  <c r="E8" i="40" s="1"/>
  <c r="AP57" i="39"/>
  <c r="AL57" i="39" s="1"/>
  <c r="AP58" i="39"/>
  <c r="AL58" i="39" s="1"/>
  <c r="AP52" i="39"/>
  <c r="AL52" i="39" s="1"/>
  <c r="AK32" i="39"/>
  <c r="AL32" i="39" s="1"/>
  <c r="AK33" i="39"/>
  <c r="AL33" i="39" s="1"/>
  <c r="AK34" i="39"/>
  <c r="AL34" i="39" s="1"/>
  <c r="AK35" i="39"/>
  <c r="AL35" i="39" s="1"/>
  <c r="AK36" i="39"/>
  <c r="AL36" i="39" s="1"/>
  <c r="AK31" i="39"/>
  <c r="AL31" i="39" s="1"/>
  <c r="AK28" i="39"/>
  <c r="AL28" i="39" s="1"/>
  <c r="AK29" i="39"/>
  <c r="AL29" i="39" s="1"/>
  <c r="AK27" i="39"/>
  <c r="AL27" i="39" s="1"/>
  <c r="AC5" i="39"/>
  <c r="AD5" i="39"/>
  <c r="AC6" i="39"/>
  <c r="AD6" i="39"/>
  <c r="AC7" i="39"/>
  <c r="AD7" i="39"/>
  <c r="AC8" i="39"/>
  <c r="AD8" i="39"/>
  <c r="AC9" i="39"/>
  <c r="AD9" i="39"/>
  <c r="AC10" i="39"/>
  <c r="AD10" i="39"/>
  <c r="AC16" i="39"/>
  <c r="AD16" i="39"/>
  <c r="AC17" i="39"/>
  <c r="AD17" i="39"/>
  <c r="AC18" i="39"/>
  <c r="AD18" i="39"/>
  <c r="AC19" i="39"/>
  <c r="AD19" i="39"/>
  <c r="AC20" i="39"/>
  <c r="AD20" i="39"/>
  <c r="AC21" i="39"/>
  <c r="AD21" i="39"/>
  <c r="AC22" i="39"/>
  <c r="AD22" i="39"/>
  <c r="AC23" i="39"/>
  <c r="AD23" i="39"/>
  <c r="AC24" i="39"/>
  <c r="AD24" i="39"/>
  <c r="AC25" i="39"/>
  <c r="AD25" i="39"/>
  <c r="AC4" i="39"/>
  <c r="AB4" i="39" s="1"/>
  <c r="W79" i="35" s="1"/>
  <c r="T4" i="39"/>
  <c r="R4" i="39"/>
  <c r="Q4" i="39"/>
  <c r="S4" i="39"/>
  <c r="Q5" i="39"/>
  <c r="S5" i="39"/>
  <c r="T5" i="39"/>
  <c r="Q6" i="39"/>
  <c r="R6" i="39"/>
  <c r="S6" i="39"/>
  <c r="T6" i="39"/>
  <c r="Q7" i="39"/>
  <c r="R7" i="39"/>
  <c r="S7" i="39"/>
  <c r="T7" i="39"/>
  <c r="Q8" i="39"/>
  <c r="R8" i="39"/>
  <c r="S8" i="39"/>
  <c r="T8" i="39"/>
  <c r="Q9" i="39"/>
  <c r="R9" i="39"/>
  <c r="S9" i="39"/>
  <c r="T9" i="39"/>
  <c r="Q10" i="39"/>
  <c r="R10" i="39"/>
  <c r="S10" i="39"/>
  <c r="T10" i="39"/>
  <c r="Q11" i="39"/>
  <c r="R11" i="39"/>
  <c r="S11" i="39"/>
  <c r="T11" i="39"/>
  <c r="Q12" i="39"/>
  <c r="R12" i="39"/>
  <c r="S12" i="39"/>
  <c r="T12" i="39"/>
  <c r="Q13" i="39"/>
  <c r="R13" i="39"/>
  <c r="S13" i="39"/>
  <c r="T13" i="39"/>
  <c r="T16" i="39"/>
  <c r="S16" i="39"/>
  <c r="R16" i="39"/>
  <c r="Q16" i="39"/>
  <c r="T17" i="39"/>
  <c r="S17" i="39"/>
  <c r="R17" i="39"/>
  <c r="Q17" i="39"/>
  <c r="T18" i="39"/>
  <c r="S18" i="39"/>
  <c r="R18" i="39"/>
  <c r="Q18" i="39"/>
  <c r="T19" i="39"/>
  <c r="S19" i="39"/>
  <c r="R19" i="39"/>
  <c r="Q19" i="39"/>
  <c r="T20" i="39"/>
  <c r="S20" i="39"/>
  <c r="R20" i="39"/>
  <c r="Q20" i="39"/>
  <c r="T21" i="39"/>
  <c r="S21" i="39"/>
  <c r="R21" i="39"/>
  <c r="Q21" i="39"/>
  <c r="T22" i="39"/>
  <c r="S22" i="39"/>
  <c r="R22" i="39"/>
  <c r="Q22" i="39"/>
  <c r="T23" i="39"/>
  <c r="S23" i="39"/>
  <c r="R23" i="39"/>
  <c r="Q23" i="39"/>
  <c r="T24" i="39"/>
  <c r="S24" i="39"/>
  <c r="R24" i="39"/>
  <c r="Q24" i="39"/>
  <c r="T25" i="39"/>
  <c r="S25" i="39"/>
  <c r="R25" i="39"/>
  <c r="Q25" i="39"/>
  <c r="C5" i="16"/>
  <c r="F5" i="39"/>
  <c r="C6" i="16"/>
  <c r="F6" i="39"/>
  <c r="C7" i="16"/>
  <c r="F7" i="39"/>
  <c r="C8" i="16"/>
  <c r="F8" i="39"/>
  <c r="C9" i="16"/>
  <c r="F9" i="39"/>
  <c r="C10" i="16"/>
  <c r="F10" i="39"/>
  <c r="P4" i="39"/>
  <c r="W167" i="34" s="1"/>
  <c r="P49" i="39"/>
  <c r="W212" i="34" s="1"/>
  <c r="J8" i="16"/>
  <c r="L27" i="40"/>
  <c r="K27" i="40"/>
  <c r="H27" i="40"/>
  <c r="G27" i="40"/>
  <c r="F27" i="40"/>
  <c r="L26" i="40"/>
  <c r="K26" i="40"/>
  <c r="J26" i="40"/>
  <c r="I26" i="40"/>
  <c r="H26" i="40"/>
  <c r="G26" i="40"/>
  <c r="F26" i="40"/>
  <c r="E26" i="40"/>
  <c r="D26" i="40"/>
  <c r="K24" i="40"/>
  <c r="J24" i="40"/>
  <c r="I24" i="40"/>
  <c r="H24" i="40"/>
  <c r="G24" i="40"/>
  <c r="F24" i="40"/>
  <c r="E24" i="40"/>
  <c r="D24" i="40"/>
  <c r="L23" i="40"/>
  <c r="K23" i="40"/>
  <c r="J23" i="40"/>
  <c r="I23" i="40"/>
  <c r="H23" i="40"/>
  <c r="G23" i="40"/>
  <c r="F23" i="40"/>
  <c r="E23" i="40"/>
  <c r="D23" i="40"/>
  <c r="W41" i="33"/>
  <c r="W40" i="33"/>
  <c r="J24" i="45" l="1"/>
  <c r="W45" i="33" s="1"/>
  <c r="J23" i="45"/>
  <c r="W44" i="33" s="1"/>
  <c r="K23" i="45"/>
  <c r="W27" i="34" s="1"/>
  <c r="K24" i="45"/>
  <c r="W28" i="34" s="1"/>
  <c r="C8" i="40"/>
  <c r="S58" i="39"/>
  <c r="R58" i="39"/>
  <c r="D8" i="40"/>
  <c r="T57" i="39"/>
  <c r="Q57" i="39"/>
  <c r="W144" i="33"/>
  <c r="D11" i="46"/>
  <c r="W143" i="33"/>
  <c r="D10" i="46"/>
  <c r="W142" i="33"/>
  <c r="D9" i="46"/>
  <c r="W141" i="33"/>
  <c r="D8" i="46"/>
  <c r="W140" i="33"/>
  <c r="D7" i="46"/>
  <c r="W139" i="33"/>
  <c r="D6" i="46"/>
  <c r="P5" i="39"/>
  <c r="L6" i="40"/>
  <c r="L9" i="40"/>
  <c r="J6" i="40"/>
  <c r="J9" i="40"/>
  <c r="K6" i="40"/>
  <c r="K9" i="40"/>
  <c r="H6" i="40"/>
  <c r="C6" i="40"/>
  <c r="C9" i="40"/>
  <c r="D6" i="40"/>
  <c r="D9" i="40"/>
  <c r="E6" i="40"/>
  <c r="E9" i="40"/>
  <c r="F6" i="40"/>
  <c r="F9" i="40"/>
  <c r="G6" i="40"/>
  <c r="G9" i="40"/>
  <c r="I8" i="40"/>
  <c r="AK52" i="39"/>
  <c r="AC52" i="39"/>
  <c r="AD52" i="39"/>
  <c r="Q52" i="39"/>
  <c r="R52" i="39"/>
  <c r="S52" i="39"/>
  <c r="T52" i="39"/>
  <c r="I52" i="39"/>
  <c r="H52" i="39"/>
  <c r="G52" i="39"/>
  <c r="F52" i="39" s="1"/>
  <c r="W186" i="33" s="1"/>
  <c r="AK58" i="39"/>
  <c r="AC58" i="39"/>
  <c r="AD58" i="39"/>
  <c r="Q58" i="39"/>
  <c r="T58" i="39"/>
  <c r="I58" i="39"/>
  <c r="H58" i="39"/>
  <c r="G58" i="39"/>
  <c r="F58" i="39" s="1"/>
  <c r="W192" i="33" s="1"/>
  <c r="AK57" i="39"/>
  <c r="AC57" i="39"/>
  <c r="AD57" i="39"/>
  <c r="R57" i="39"/>
  <c r="S57" i="39"/>
  <c r="I57" i="39"/>
  <c r="H57" i="39"/>
  <c r="G57" i="39"/>
  <c r="F57" i="39" s="1"/>
  <c r="W191" i="33" s="1"/>
  <c r="AK56" i="39"/>
  <c r="AC56" i="39"/>
  <c r="AD56" i="39"/>
  <c r="Q56" i="39"/>
  <c r="R56" i="39"/>
  <c r="S56" i="39"/>
  <c r="T56" i="39"/>
  <c r="I56" i="39"/>
  <c r="H56" i="39"/>
  <c r="G56" i="39"/>
  <c r="F56" i="39" s="1"/>
  <c r="W190" i="33" s="1"/>
  <c r="AK55" i="39"/>
  <c r="AC55" i="39"/>
  <c r="AD55" i="39"/>
  <c r="Q55" i="39"/>
  <c r="R55" i="39"/>
  <c r="S55" i="39"/>
  <c r="T55" i="39"/>
  <c r="I55" i="39"/>
  <c r="H55" i="39"/>
  <c r="G55" i="39"/>
  <c r="F55" i="39" s="1"/>
  <c r="W189" i="33" s="1"/>
  <c r="AK54" i="39"/>
  <c r="AC54" i="39"/>
  <c r="AD54" i="39"/>
  <c r="Q54" i="39"/>
  <c r="R54" i="39"/>
  <c r="S54" i="39"/>
  <c r="T54" i="39"/>
  <c r="I54" i="39"/>
  <c r="H54" i="39"/>
  <c r="G54" i="39"/>
  <c r="F54" i="39" s="1"/>
  <c r="W188" i="33" s="1"/>
  <c r="AK53" i="39"/>
  <c r="AC53" i="39"/>
  <c r="AD53" i="39"/>
  <c r="Q53" i="39"/>
  <c r="R53" i="39"/>
  <c r="S53" i="39"/>
  <c r="T53" i="39"/>
  <c r="I53" i="39"/>
  <c r="H53" i="39"/>
  <c r="G53" i="39"/>
  <c r="F53" i="39" s="1"/>
  <c r="W187" i="33" s="1"/>
  <c r="AD27" i="39"/>
  <c r="AC27" i="39"/>
  <c r="AB27" i="39" s="1"/>
  <c r="W99" i="35" s="1"/>
  <c r="T27" i="39"/>
  <c r="S27" i="39"/>
  <c r="R27" i="39"/>
  <c r="Q27" i="39"/>
  <c r="P27" i="39" s="1"/>
  <c r="W190" i="34" s="1"/>
  <c r="I27" i="39"/>
  <c r="H27" i="39"/>
  <c r="G27" i="39"/>
  <c r="F27" i="39" s="1"/>
  <c r="W161" i="33" s="1"/>
  <c r="AC29" i="39"/>
  <c r="AD29" i="39"/>
  <c r="Q29" i="39"/>
  <c r="R29" i="39"/>
  <c r="S29" i="39"/>
  <c r="T29" i="39"/>
  <c r="I29" i="39"/>
  <c r="H29" i="39"/>
  <c r="G29" i="39"/>
  <c r="F29" i="39" s="1"/>
  <c r="W163" i="33" s="1"/>
  <c r="AC28" i="39"/>
  <c r="AD28" i="39"/>
  <c r="Q28" i="39"/>
  <c r="R28" i="39"/>
  <c r="S28" i="39"/>
  <c r="T28" i="39"/>
  <c r="I28" i="39"/>
  <c r="H28" i="39"/>
  <c r="G28" i="39"/>
  <c r="F28" i="39" s="1"/>
  <c r="W162" i="33" s="1"/>
  <c r="AC31" i="39"/>
  <c r="AD31" i="39"/>
  <c r="Q31" i="39"/>
  <c r="R31" i="39"/>
  <c r="S31" i="39"/>
  <c r="T31" i="39"/>
  <c r="I31" i="39"/>
  <c r="H31" i="39"/>
  <c r="G31" i="39"/>
  <c r="F31" i="39" s="1"/>
  <c r="W165" i="33" s="1"/>
  <c r="AC36" i="39"/>
  <c r="AD36" i="39"/>
  <c r="Q36" i="39"/>
  <c r="R36" i="39"/>
  <c r="S36" i="39"/>
  <c r="T36" i="39"/>
  <c r="I36" i="39"/>
  <c r="H36" i="39"/>
  <c r="G36" i="39"/>
  <c r="F36" i="39" s="1"/>
  <c r="W170" i="33" s="1"/>
  <c r="AC35" i="39"/>
  <c r="AD35" i="39"/>
  <c r="Q35" i="39"/>
  <c r="R35" i="39"/>
  <c r="S35" i="39"/>
  <c r="T35" i="39"/>
  <c r="I35" i="39"/>
  <c r="H35" i="39"/>
  <c r="G35" i="39"/>
  <c r="F35" i="39" s="1"/>
  <c r="W169" i="33" s="1"/>
  <c r="AC34" i="39"/>
  <c r="AD34" i="39"/>
  <c r="Q34" i="39"/>
  <c r="R34" i="39"/>
  <c r="S34" i="39"/>
  <c r="T34" i="39"/>
  <c r="I34" i="39"/>
  <c r="H34" i="39"/>
  <c r="G34" i="39"/>
  <c r="F34" i="39" s="1"/>
  <c r="W168" i="33" s="1"/>
  <c r="AC33" i="39"/>
  <c r="AD33" i="39"/>
  <c r="Q33" i="39"/>
  <c r="R33" i="39"/>
  <c r="S33" i="39"/>
  <c r="T33" i="39"/>
  <c r="I33" i="39"/>
  <c r="H33" i="39"/>
  <c r="G33" i="39"/>
  <c r="F33" i="39" s="1"/>
  <c r="W167" i="33" s="1"/>
  <c r="AC32" i="39"/>
  <c r="AD32" i="39"/>
  <c r="Q32" i="39"/>
  <c r="R32" i="39"/>
  <c r="S32" i="39"/>
  <c r="T32" i="39"/>
  <c r="I32" i="39"/>
  <c r="H32" i="39"/>
  <c r="G32" i="39"/>
  <c r="F32" i="39" s="1"/>
  <c r="W166" i="33" s="1"/>
  <c r="AD15" i="39"/>
  <c r="AC15" i="39"/>
  <c r="AB15" i="39" s="1"/>
  <c r="W87" i="35" s="1"/>
  <c r="AB25" i="39"/>
  <c r="W97" i="35" s="1"/>
  <c r="AB24" i="39"/>
  <c r="W96" i="35" s="1"/>
  <c r="AB23" i="39"/>
  <c r="W95" i="35" s="1"/>
  <c r="AB22" i="39"/>
  <c r="W94" i="35" s="1"/>
  <c r="AB21" i="39"/>
  <c r="W93" i="35" s="1"/>
  <c r="AB20" i="39"/>
  <c r="W92" i="35" s="1"/>
  <c r="AB19" i="39"/>
  <c r="W91" i="35" s="1"/>
  <c r="AB18" i="39"/>
  <c r="W90" i="35" s="1"/>
  <c r="AB17" i="39"/>
  <c r="W89" i="35" s="1"/>
  <c r="AB16" i="39"/>
  <c r="W88" i="35" s="1"/>
  <c r="AB10" i="39"/>
  <c r="W85" i="35" s="1"/>
  <c r="AB9" i="39"/>
  <c r="W84" i="35" s="1"/>
  <c r="AB8" i="39"/>
  <c r="W83" i="35" s="1"/>
  <c r="AB7" i="39"/>
  <c r="W82" i="35" s="1"/>
  <c r="AB6" i="39"/>
  <c r="W81" i="35" s="1"/>
  <c r="AB5" i="39"/>
  <c r="W80" i="35" s="1"/>
  <c r="T15" i="39"/>
  <c r="S15" i="39"/>
  <c r="R15" i="39"/>
  <c r="Q15" i="39"/>
  <c r="P15" i="39"/>
  <c r="W178" i="34" s="1"/>
  <c r="P58" i="39"/>
  <c r="W221" i="34" s="1"/>
  <c r="P57" i="39"/>
  <c r="W220" i="34" s="1"/>
  <c r="P56" i="39"/>
  <c r="W219" i="34" s="1"/>
  <c r="P55" i="39"/>
  <c r="W218" i="34" s="1"/>
  <c r="P54" i="39"/>
  <c r="W217" i="34" s="1"/>
  <c r="P53" i="39"/>
  <c r="W216" i="34" s="1"/>
  <c r="P52" i="39"/>
  <c r="W215" i="34" s="1"/>
  <c r="P51" i="39"/>
  <c r="W214" i="34" s="1"/>
  <c r="P50" i="39"/>
  <c r="W213" i="34" s="1"/>
  <c r="P47" i="39"/>
  <c r="W210" i="34" s="1"/>
  <c r="P46" i="39"/>
  <c r="W209" i="34" s="1"/>
  <c r="P45" i="39"/>
  <c r="W208" i="34" s="1"/>
  <c r="P44" i="39"/>
  <c r="W207" i="34" s="1"/>
  <c r="P43" i="39"/>
  <c r="W206" i="34" s="1"/>
  <c r="P42" i="39"/>
  <c r="W205" i="34" s="1"/>
  <c r="P41" i="39"/>
  <c r="W204" i="34" s="1"/>
  <c r="P40" i="39"/>
  <c r="W203" i="34" s="1"/>
  <c r="P39" i="39"/>
  <c r="W202" i="34" s="1"/>
  <c r="P38" i="39"/>
  <c r="W201" i="34" s="1"/>
  <c r="P36" i="39"/>
  <c r="W199" i="34" s="1"/>
  <c r="P35" i="39"/>
  <c r="W198" i="34" s="1"/>
  <c r="P34" i="39"/>
  <c r="W197" i="34" s="1"/>
  <c r="P33" i="39"/>
  <c r="W196" i="34" s="1"/>
  <c r="P32" i="39"/>
  <c r="W195" i="34" s="1"/>
  <c r="P31" i="39"/>
  <c r="W194" i="34" s="1"/>
  <c r="P30" i="39"/>
  <c r="W193" i="34" s="1"/>
  <c r="P29" i="39"/>
  <c r="W192" i="34" s="1"/>
  <c r="P28" i="39"/>
  <c r="W191" i="34" s="1"/>
  <c r="P25" i="39"/>
  <c r="W188" i="34" s="1"/>
  <c r="P24" i="39"/>
  <c r="W187" i="34" s="1"/>
  <c r="P23" i="39"/>
  <c r="W186" i="34" s="1"/>
  <c r="P22" i="39"/>
  <c r="W185" i="34" s="1"/>
  <c r="P21" i="39"/>
  <c r="W184" i="34" s="1"/>
  <c r="P20" i="39"/>
  <c r="W183" i="34" s="1"/>
  <c r="P19" i="39"/>
  <c r="W182" i="34" s="1"/>
  <c r="P18" i="39"/>
  <c r="W181" i="34" s="1"/>
  <c r="P17" i="39"/>
  <c r="W180" i="34" s="1"/>
  <c r="P16" i="39"/>
  <c r="W179" i="34" s="1"/>
  <c r="P13" i="39"/>
  <c r="W176" i="34" s="1"/>
  <c r="P12" i="39"/>
  <c r="W175" i="34" s="1"/>
  <c r="P11" i="39"/>
  <c r="W174" i="34" s="1"/>
  <c r="P10" i="39"/>
  <c r="W173" i="34" s="1"/>
  <c r="P9" i="39"/>
  <c r="W172" i="34" s="1"/>
  <c r="P8" i="39"/>
  <c r="W171" i="34" s="1"/>
  <c r="P7" i="39"/>
  <c r="W170" i="34" s="1"/>
  <c r="P6" i="39"/>
  <c r="W169" i="34" s="1"/>
  <c r="W168" i="34"/>
  <c r="C20" i="40"/>
  <c r="I15" i="39"/>
  <c r="H15" i="39"/>
  <c r="G15" i="39"/>
  <c r="F15" i="39" s="1"/>
  <c r="W149" i="33" s="1"/>
  <c r="E27" i="40" l="1"/>
  <c r="D27" i="40"/>
  <c r="C12" i="40"/>
  <c r="D16" i="46"/>
  <c r="D33" i="46"/>
  <c r="D34" i="46"/>
  <c r="D35" i="46"/>
  <c r="D36" i="46"/>
  <c r="D37" i="46"/>
  <c r="D32" i="46"/>
  <c r="D29" i="46"/>
  <c r="D30" i="46"/>
  <c r="D28" i="46"/>
  <c r="D54" i="46"/>
  <c r="D55" i="46"/>
  <c r="D56" i="46"/>
  <c r="D57" i="46"/>
  <c r="D58" i="46"/>
  <c r="D59" i="46"/>
  <c r="D53" i="46"/>
  <c r="G12" i="40"/>
  <c r="F12" i="40"/>
  <c r="E12" i="40"/>
  <c r="D12" i="40"/>
  <c r="K12" i="40"/>
  <c r="J12" i="40"/>
  <c r="L12" i="40"/>
  <c r="J27" i="40"/>
  <c r="I27" i="40"/>
  <c r="G20" i="40"/>
  <c r="G19" i="40"/>
  <c r="G18" i="40"/>
  <c r="G16" i="40"/>
  <c r="G15" i="40"/>
  <c r="G28" i="40"/>
  <c r="G25" i="40"/>
  <c r="G17" i="40"/>
  <c r="F20" i="40"/>
  <c r="F19" i="40"/>
  <c r="F18" i="40"/>
  <c r="F16" i="40"/>
  <c r="F15" i="40"/>
  <c r="F28" i="40"/>
  <c r="F25" i="40"/>
  <c r="F17" i="40"/>
  <c r="E20" i="40"/>
  <c r="E19" i="40"/>
  <c r="E18" i="40"/>
  <c r="E16" i="40"/>
  <c r="E15" i="40"/>
  <c r="E28" i="40"/>
  <c r="E25" i="40"/>
  <c r="E17" i="40"/>
  <c r="D20" i="40"/>
  <c r="D19" i="40"/>
  <c r="D18" i="40"/>
  <c r="D16" i="40"/>
  <c r="D15" i="40"/>
  <c r="D28" i="40"/>
  <c r="D25" i="40"/>
  <c r="D17" i="40"/>
  <c r="C15" i="40"/>
  <c r="C19" i="40"/>
  <c r="C18" i="40"/>
  <c r="C16" i="40"/>
  <c r="C17" i="40"/>
  <c r="I25" i="40"/>
  <c r="H25" i="40"/>
  <c r="K20" i="40"/>
  <c r="K19" i="40"/>
  <c r="K18" i="40"/>
  <c r="K16" i="40"/>
  <c r="K15" i="40"/>
  <c r="K28" i="40"/>
  <c r="K25" i="40"/>
  <c r="K17" i="40"/>
  <c r="J20" i="40"/>
  <c r="J19" i="40"/>
  <c r="J18" i="40"/>
  <c r="J16" i="40"/>
  <c r="J15" i="40"/>
  <c r="J25" i="40"/>
  <c r="J17" i="40"/>
  <c r="L25" i="40"/>
  <c r="AB53" i="39"/>
  <c r="W120" i="35" s="1"/>
  <c r="AB54" i="39"/>
  <c r="W121" i="35" s="1"/>
  <c r="AB55" i="39"/>
  <c r="W122" i="35" s="1"/>
  <c r="AB56" i="39"/>
  <c r="W123" i="35" s="1"/>
  <c r="AB57" i="39"/>
  <c r="W124" i="35" s="1"/>
  <c r="AB58" i="39"/>
  <c r="W125" i="35" s="1"/>
  <c r="AB52" i="39"/>
  <c r="W119" i="35" s="1"/>
  <c r="AB32" i="39"/>
  <c r="W104" i="35" s="1"/>
  <c r="AB33" i="39"/>
  <c r="W105" i="35" s="1"/>
  <c r="AB34" i="39"/>
  <c r="W106" i="35" s="1"/>
  <c r="AB35" i="39"/>
  <c r="W107" i="35" s="1"/>
  <c r="AB36" i="39"/>
  <c r="W108" i="35" s="1"/>
  <c r="AB31" i="39"/>
  <c r="W103" i="35" s="1"/>
  <c r="AB28" i="39"/>
  <c r="W100" i="35" s="1"/>
  <c r="AB29" i="39"/>
  <c r="W101" i="35" s="1"/>
  <c r="L20" i="40"/>
  <c r="L19" i="40"/>
  <c r="L18" i="40"/>
  <c r="L17" i="40"/>
  <c r="L15" i="40"/>
  <c r="L28" i="40"/>
  <c r="L24" i="40"/>
  <c r="L16" i="40"/>
  <c r="I9" i="40" l="1"/>
  <c r="H9" i="40"/>
  <c r="D61" i="46"/>
  <c r="G52" i="29"/>
  <c r="F52" i="29"/>
  <c r="E52" i="29"/>
  <c r="D52" i="29"/>
  <c r="D42" i="29"/>
  <c r="D43" i="29" s="1"/>
  <c r="W10" i="33" s="1"/>
  <c r="E42" i="29"/>
  <c r="E43" i="29" s="1"/>
  <c r="W11" i="33" s="1"/>
  <c r="F42" i="29"/>
  <c r="F43" i="29" s="1"/>
  <c r="W12" i="33" s="1"/>
  <c r="G42" i="29"/>
  <c r="G43" i="29" s="1"/>
  <c r="W13" i="33" s="1"/>
  <c r="H42" i="29"/>
  <c r="H43" i="29" s="1"/>
  <c r="W14" i="33" s="1"/>
  <c r="I42" i="29"/>
  <c r="I43" i="29" s="1"/>
  <c r="W15" i="33" s="1"/>
  <c r="J42" i="29"/>
  <c r="J43" i="29" s="1"/>
  <c r="W16" i="33" s="1"/>
  <c r="C42" i="29"/>
  <c r="C43" i="29" s="1"/>
  <c r="W9" i="33" s="1"/>
  <c r="D32" i="29"/>
  <c r="D33" i="29" s="1"/>
  <c r="W19" i="34" s="1"/>
  <c r="E32" i="29"/>
  <c r="E33" i="29" s="1"/>
  <c r="W20" i="34" s="1"/>
  <c r="F32" i="29"/>
  <c r="F33" i="29" s="1"/>
  <c r="W21" i="34" s="1"/>
  <c r="G32" i="29"/>
  <c r="G33" i="29" s="1"/>
  <c r="W22" i="34" s="1"/>
  <c r="H32" i="29"/>
  <c r="H33" i="29" s="1"/>
  <c r="W23" i="34" s="1"/>
  <c r="I32" i="29"/>
  <c r="I33" i="29" s="1"/>
  <c r="W24" i="34" s="1"/>
  <c r="J32" i="29"/>
  <c r="J33" i="29" s="1"/>
  <c r="W25" i="34" s="1"/>
  <c r="C32" i="29"/>
  <c r="C33" i="29" s="1"/>
  <c r="W18" i="34" s="1"/>
  <c r="J30" i="29"/>
  <c r="I30" i="29"/>
  <c r="H30" i="29"/>
  <c r="G30" i="29"/>
  <c r="F30" i="29"/>
  <c r="E30" i="29"/>
  <c r="D30" i="29"/>
  <c r="C30" i="29"/>
  <c r="J21" i="29"/>
  <c r="W23" i="35" s="1"/>
  <c r="I21" i="29"/>
  <c r="W22" i="35" s="1"/>
  <c r="H21" i="29"/>
  <c r="W21" i="35" s="1"/>
  <c r="G21" i="29"/>
  <c r="W20" i="35" s="1"/>
  <c r="F21" i="29"/>
  <c r="W19" i="35" s="1"/>
  <c r="E21" i="29"/>
  <c r="W18" i="35" s="1"/>
  <c r="D21" i="29"/>
  <c r="W17" i="35" s="1"/>
  <c r="W16" i="35"/>
  <c r="H26" i="22"/>
  <c r="H23" i="25"/>
  <c r="H22" i="25"/>
  <c r="F23" i="25"/>
  <c r="F22" i="25"/>
  <c r="D23" i="25"/>
  <c r="D22" i="25"/>
  <c r="D9" i="25"/>
  <c r="H6" i="22"/>
  <c r="H10" i="22"/>
  <c r="H12" i="22"/>
  <c r="H13" i="22"/>
  <c r="H16" i="22"/>
  <c r="H18" i="22"/>
  <c r="H20" i="22"/>
  <c r="H21" i="22"/>
  <c r="H24" i="22"/>
  <c r="H25" i="22"/>
  <c r="H5" i="22"/>
  <c r="M18" i="16"/>
  <c r="M19" i="16"/>
  <c r="M20" i="16"/>
  <c r="M21" i="16"/>
  <c r="M22" i="16"/>
  <c r="M23" i="16"/>
  <c r="M24" i="16"/>
  <c r="M25" i="16"/>
  <c r="M26" i="16"/>
  <c r="M27" i="16"/>
  <c r="M17" i="16"/>
  <c r="M29" i="16" s="1"/>
  <c r="L18" i="16"/>
  <c r="L19" i="16"/>
  <c r="L20" i="16"/>
  <c r="L21" i="16"/>
  <c r="L22" i="16"/>
  <c r="L23" i="16"/>
  <c r="L24" i="16"/>
  <c r="L25" i="16"/>
  <c r="L26" i="16"/>
  <c r="L27" i="16"/>
  <c r="L17" i="16"/>
  <c r="L29" i="16" s="1"/>
  <c r="I6" i="16"/>
  <c r="J6" i="16" s="1"/>
  <c r="I7" i="16"/>
  <c r="J7" i="16" s="1"/>
  <c r="I9" i="16"/>
  <c r="J9" i="16" s="1"/>
  <c r="I10" i="16"/>
  <c r="J10" i="16" s="1"/>
  <c r="I5" i="16"/>
  <c r="J5" i="16" s="1"/>
  <c r="H12" i="40" l="1"/>
  <c r="H20" i="40"/>
  <c r="H19" i="40"/>
  <c r="H18" i="40"/>
  <c r="H16" i="40"/>
  <c r="H15" i="40"/>
  <c r="H28" i="40"/>
  <c r="H17" i="40"/>
  <c r="M8" i="40"/>
  <c r="M7" i="40"/>
  <c r="M6" i="40"/>
  <c r="M4" i="40"/>
  <c r="M5" i="40"/>
  <c r="I12" i="40"/>
  <c r="I20" i="40"/>
  <c r="I18" i="40"/>
  <c r="I17" i="40"/>
  <c r="I16" i="40"/>
  <c r="I15" i="40"/>
  <c r="I28" i="40"/>
  <c r="I19" i="40"/>
  <c r="J28" i="40"/>
  <c r="W79" i="33"/>
  <c r="W78" i="33"/>
  <c r="W77" i="33"/>
  <c r="W76" i="33"/>
  <c r="W75" i="33"/>
  <c r="W74" i="33"/>
  <c r="W73" i="33"/>
  <c r="W72" i="33"/>
  <c r="W71" i="33"/>
  <c r="W70" i="33"/>
  <c r="W69" i="33"/>
  <c r="W68" i="33"/>
  <c r="W67" i="33"/>
  <c r="W66" i="33"/>
  <c r="W65" i="33"/>
  <c r="W64" i="33"/>
  <c r="W63" i="33"/>
  <c r="W62" i="33"/>
  <c r="W61" i="33"/>
  <c r="W86" i="33"/>
  <c r="W85" i="33"/>
  <c r="W84" i="33"/>
  <c r="W83" i="33"/>
  <c r="W82" i="33"/>
  <c r="W81" i="33"/>
  <c r="W80" i="33"/>
  <c r="W60" i="33"/>
  <c r="B7" i="16"/>
  <c r="B6" i="16"/>
  <c r="H24" i="25"/>
  <c r="F24" i="25"/>
  <c r="D24" i="25"/>
  <c r="M9" i="40" l="1"/>
  <c r="B10" i="16"/>
  <c r="B5" i="16"/>
  <c r="D5" i="16" s="1"/>
  <c r="B8" i="16"/>
  <c r="B9" i="16"/>
  <c r="L5" i="16" l="1"/>
  <c r="K5" i="16" l="1"/>
  <c r="D10" i="16" l="1"/>
  <c r="K10" i="16"/>
  <c r="D6" i="16"/>
  <c r="K6" i="16"/>
  <c r="K7" i="16"/>
  <c r="D7" i="16"/>
  <c r="K8" i="16"/>
  <c r="D8" i="16"/>
  <c r="K9" i="16"/>
  <c r="D9" i="16"/>
  <c r="K12" i="16" l="1"/>
  <c r="L10" i="16" s="1"/>
  <c r="L9" i="16" s="1"/>
  <c r="L8" i="16" s="1"/>
  <c r="L7" i="16" s="1"/>
  <c r="L6" i="16" s="1"/>
  <c r="L12" i="16"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tc={31F066C3-1A4F-4EED-835A-312B95F2441F}</author>
  </authors>
  <commentList>
    <comment ref="E8" authorId="0" shapeId="0" xr:uid="{31F066C3-1A4F-4EED-835A-312B95F2441F}">
      <text>
        <r>
          <rPr>
            <sz val="12"/>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Il y a une erreur sur ces valeurs dans le CSR</t>
        </r>
      </text>
    </comment>
  </commentList>
</comments>
</file>

<file path=xl/sharedStrings.xml><?xml version="1.0" encoding="utf-8"?>
<sst xmlns="http://schemas.openxmlformats.org/spreadsheetml/2006/main" count="13924" uniqueCount="1426">
  <si>
    <t>Template</t>
  </si>
  <si>
    <t>Source</t>
  </si>
  <si>
    <t>Authors</t>
  </si>
  <si>
    <t>Year</t>
  </si>
  <si>
    <t>Link</t>
  </si>
  <si>
    <t>Category</t>
  </si>
  <si>
    <t>Criteria</t>
  </si>
  <si>
    <t>Comments</t>
  </si>
  <si>
    <t>[Literature, Industry, Roadmap, Database]</t>
  </si>
  <si>
    <t>Type of process flow
[L/M/mix]</t>
  </si>
  <si>
    <t>FE
[y/n]</t>
  </si>
  <si>
    <t>BE
[y/n]</t>
  </si>
  <si>
    <t>iN
[nm/mix]</t>
  </si>
  <si>
    <t>Wafer Size
[mm]</t>
  </si>
  <si>
    <t>Yield
[y/n]</t>
  </si>
  <si>
    <t>Infrastructure
[y/n]</t>
  </si>
  <si>
    <t>Materials, chemicals &amp; purification
[y/n]</t>
  </si>
  <si>
    <t>Electricity location production 
[glo/country]</t>
  </si>
  <si>
    <t>Indicators coverage
[cf/e/w]</t>
  </si>
  <si>
    <t>Assessment method
[pb/eio/hybrid]</t>
  </si>
  <si>
    <t>Primary data
[y/n/mix]</t>
  </si>
  <si>
    <t>Dependencies
[y/n]</t>
  </si>
  <si>
    <t>Process details
[y/n]</t>
  </si>
  <si>
    <t>Transparent normalization
[y/n]</t>
  </si>
  <si>
    <t>Name of the source</t>
  </si>
  <si>
    <t>Name of the first author</t>
  </si>
  <si>
    <t>What is the year of publication of the source ? 
(or the reference year for the data)</t>
  </si>
  <si>
    <t>Link to the source</t>
  </si>
  <si>
    <t>Literature category of the source</t>
  </si>
  <si>
    <t>Which type of semiconductor process flow is considered ?
(logic, memory, analog, radio-frequency)</t>
  </si>
  <si>
    <t xml:space="preserve">Does the source include FEOL and BEOL ? </t>
  </si>
  <si>
    <t>Does the source include BE ?</t>
  </si>
  <si>
    <t xml:space="preserve">What is the technology node considered ? </t>
  </si>
  <si>
    <t xml:space="preserve">What is the wafer size considered ? </t>
  </si>
  <si>
    <t>Is yield considered ? 
(wafer yield, line yield, gross yield)</t>
  </si>
  <si>
    <t>Is the infrastructure considered ?</t>
  </si>
  <si>
    <t>Are upstream materials and purification processes included ?</t>
  </si>
  <si>
    <t>Which location is considered in the source ? (global, country specific)</t>
  </si>
  <si>
    <t>What are the indicators covered by the source ?</t>
  </si>
  <si>
    <t>Which LCA approach is used to obtain the final value ? (process-based, EIO-LCA, hybrid)</t>
  </si>
  <si>
    <t>Do the data come directly from on-site measurements ?</t>
  </si>
  <si>
    <t>Is there any dependency to external sources ?</t>
  </si>
  <si>
    <t xml:space="preserve">Does the source provide details regarding the process and the modeling ? </t>
  </si>
  <si>
    <t>Does the source normalize the indicator by square centimeter explicitely ?</t>
  </si>
  <si>
    <t>Comments related to the source</t>
  </si>
  <si>
    <t>Literature</t>
  </si>
  <si>
    <t>L</t>
  </si>
  <si>
    <t>Y</t>
  </si>
  <si>
    <t>GLO</t>
  </si>
  <si>
    <t>cf</t>
  </si>
  <si>
    <t>pb</t>
  </si>
  <si>
    <t>Industry</t>
  </si>
  <si>
    <t>M</t>
  </si>
  <si>
    <t>N</t>
  </si>
  <si>
    <t>USA</t>
  </si>
  <si>
    <t>e</t>
  </si>
  <si>
    <t>eio</t>
  </si>
  <si>
    <t>Roadmap</t>
  </si>
  <si>
    <t>mix</t>
  </si>
  <si>
    <t>EU</t>
  </si>
  <si>
    <t>w</t>
  </si>
  <si>
    <t>hybrid</t>
  </si>
  <si>
    <t>Database</t>
  </si>
  <si>
    <t>ASIA</t>
  </si>
  <si>
    <t>JAPAN</t>
  </si>
  <si>
    <t>TAIWAN</t>
  </si>
  <si>
    <t>CHINA</t>
  </si>
  <si>
    <t>GWP</t>
  </si>
  <si>
    <t>Value</t>
  </si>
  <si>
    <t>Life Cycle Assessment of the Fairphone 2</t>
  </si>
  <si>
    <t>Proske</t>
  </si>
  <si>
    <t>https://www.fairphone.com/wp-content/uploads/2016/11/Fairphone_2_LCA_Final_20161122.pdf</t>
  </si>
  <si>
    <t>Y
[c-1]</t>
  </si>
  <si>
    <t>Y
[c-3]</t>
  </si>
  <si>
    <t>NA</t>
  </si>
  <si>
    <t>CHINA
[c-4]</t>
  </si>
  <si>
    <t>N
[c-5]</t>
  </si>
  <si>
    <t>Y
[c-2]</t>
  </si>
  <si>
    <t xml:space="preserve">
[c-1] 3,4 for front-end + 2 for back-end = 5,4. Back-end evaluation is based on an assumption 1/2 - 2/3, see p.26
[c-2] S.B. Boyd (2012), Schmidt (2011)
[c-3] see p.24 number of good dies per wafer
[c-4] Mainly EU for the use phase but Chinese energy mix is considered for final assembly for instance, see section 3.1.8. p.21.
[c-5] Primary data for the final assembly process was obtained
from Hi-P.</t>
  </si>
  <si>
    <t>Life Cycle Assessment of the Fairphone 3</t>
  </si>
  <si>
    <t xml:space="preserve">https://www.fairphone.com/wp-content/uploads/2020/07/Fairphone_3_LCA.pdf </t>
  </si>
  <si>
    <t>N
[c-3]</t>
  </si>
  <si>
    <t>300
[c-1]</t>
  </si>
  <si>
    <t>[c-1]  S.B. Boyd (2012), Prakash (2013)
[c-2] Deducted from Boyd (2012)
[c-3] BE is not mentioned explicitely in the report. Front-end tables are the same then in Proske 2016 but in Proske 2020, no presence of BE.
[c-4] Mainly EU for the use phase but Chinese energy mix is considered for final assembly for instance (section 3.1.13) and Chinese mix in Table 3-8.</t>
  </si>
  <si>
    <t>Life-Cycle Assessment of Semiconductors</t>
  </si>
  <si>
    <t>Boyd</t>
  </si>
  <si>
    <t>http://link.springer.com/10.1007/978-1-4419-9988-7</t>
  </si>
  <si>
    <t xml:space="preserve">USA
[c-1] </t>
  </si>
  <si>
    <t>cf-e-w</t>
  </si>
  <si>
    <t>Y
[c-4]</t>
  </si>
  <si>
    <t>[c-1] Santa Clara, CA, USA
[c-2]  Process steps mentionned to be taken into account but no details are given
[c-3] Normalization is given in kgCO2eq/die, normalization to kgVO2eq/cm^2 is described on "Boyd details" sheet
[c-4] Mainly from Krishnan (2008, Applied Materials) and Murphy (2003)
[c-5] Die packaging is considered see p.38 BUT we cannot find the data associated with the back-end.</t>
  </si>
  <si>
    <t>http://link.springer.com/10.1007/978-1-4419-9988-8</t>
  </si>
  <si>
    <t>http://link.springer.com/10.1007/978-1-4419-9988-9</t>
  </si>
  <si>
    <t>http://link.springer.com/10.1007/978-1-4419-9988-10</t>
  </si>
  <si>
    <t>http://link.springer.com/10.1007/978-1-4419-9988-11</t>
  </si>
  <si>
    <t>http://link.springer.com/10.1007/978-1-4419-9988-12</t>
  </si>
  <si>
    <t>http://link.springer.com/10.1007/978-1-4419-9988-13</t>
  </si>
  <si>
    <t>http://link.springer.com/10.1007/978-1-4419-9988-14</t>
  </si>
  <si>
    <t>Life-Cycle Assessment of Consumer Electronics: A review of methodological approaches</t>
  </si>
  <si>
    <t>Andrae</t>
  </si>
  <si>
    <t>https://doi.org/10.1109/MCE.2015.2484639</t>
  </si>
  <si>
    <t>mix
[c-1]</t>
  </si>
  <si>
    <t>NA
[c-0]</t>
  </si>
  <si>
    <t>Y
[c-0]</t>
  </si>
  <si>
    <t>[c-0] LIME v.1
[c-1] most likely logic</t>
  </si>
  <si>
    <t>To Which Degree Does Sector Specific Standardization Make Life Cycle Assessments Comparable?—The Case of Global Warming Potential of Smartphones</t>
  </si>
  <si>
    <t xml:space="preserve">https://doi.org/10.3390/challe5020409 </t>
  </si>
  <si>
    <t>NA
[c-2]</t>
  </si>
  <si>
    <t>[c-1] 7.26 cm^2 of chips, all type considered, see Table 2 in the article.
[c-2] IC impacts are modeled in SimaPro LCA tool and associated LCA databses.</t>
  </si>
  <si>
    <t>Precision of a Streamlined Life Cycle Assessment Approach Used in Eco-Rating of Mobile Phones</t>
  </si>
  <si>
    <t xml:space="preserve">https://doi.org/10.3390/challe8020021 </t>
  </si>
  <si>
    <t>GLO
[c-3]</t>
  </si>
  <si>
    <t>pb
[c-2]</t>
  </si>
  <si>
    <t>N
[c-1]</t>
  </si>
  <si>
    <t>Note: see p.13, Eq. (10) for 1 cm2. 
[c-1] based on EIME database (p. 13 in the paper)
[c-2] Simplified LCA method (Open Eco Rating LCA, OLCA) used by the open eco rating (OER) sustainability assessment.
[c-3] Mix of electricity location production considered (it consists of several wafer models from different area)</t>
  </si>
  <si>
    <t>Life Cycle Assessment of a Smartphone</t>
  </si>
  <si>
    <t>Ercan</t>
  </si>
  <si>
    <t>http://www.atlantis-press.com/php/paper-details.php?id=25860375</t>
  </si>
  <si>
    <t>cf-e</t>
  </si>
  <si>
    <t>Average GWP for overall production impacts of all ICs for the assessed smartphone
[c-1] Based on a mix of Ericsson private data, Sony data &amp; GaBi results</t>
  </si>
  <si>
    <t>Average GWP for processors and ASICs for the smartphone assessed
[c-1] Based on a mix of Ericsson private data, Sony data &amp; GaBi results</t>
  </si>
  <si>
    <t>Life cycle assessment of silicon wafer processing for microelectronic chips and solar cells</t>
  </si>
  <si>
    <t>Schmidt</t>
  </si>
  <si>
    <t>http://link.springer.com/10.1007/s11367-011-0351-1</t>
  </si>
  <si>
    <t>N
[c-4]</t>
  </si>
  <si>
    <t xml:space="preserve">GLO
[c-5] </t>
  </si>
  <si>
    <t>Values given p.135-136: 21 tCO2e for 1 m2 of wafer
Note: The reference period is the year 2005.
[c-1] Based on a mix of ecoinvent data and internal data from the M+W GmbH but also Boyd etc
[c-2] see p.127: yield for logic is 84%
[c-3] see p.133
[c-4] Subsequent manufacturing steps like dicing and packaging, utilization, and waste disposal of the final products were not included.
[c-5] EU in ecoinvent but The geographic reference area of the primary data is
the world because it contains average data for approximately 80% of the world’s semiconductor fabrication.</t>
  </si>
  <si>
    <t>﻿Green SoCs for a Sustainable Internet-of-Things</t>
  </si>
  <si>
    <t>Bol</t>
  </si>
  <si>
    <t>https://doi.org/10.1109/FTFC.2013.6577767</t>
  </si>
  <si>
    <t>[c-1] We carried out a review of the
scientific LCA literature for these components to generate
a preliminary carbon footprint model for WSN production. + Boyd
[c-2] As suggested in Fig. 2</t>
  </si>
  <si>
    <t>https://doi.org/10.1109/FTFC.2013.6577768</t>
  </si>
  <si>
    <t>[c-1] We carried out a review of the
scientific LCA literature for these components to generate
a preliminary carbon footprint model for WSN production. + Boyd
[c-2] As suggested in Fig. 3</t>
  </si>
  <si>
    <t>https://doi.org/10.1109/FTFC.2013.6577769</t>
  </si>
  <si>
    <t>[c-1] We carried out a review of the
scientific LCA literature for these components to generate
a preliminary carbon footprint model for WSN production. + Boyd
[c-2] As suggested in Fig. 4</t>
  </si>
  <si>
    <t>Considering fabrication in sustainable computing</t>
  </si>
  <si>
    <t>Jones</t>
  </si>
  <si>
    <t>http://ieeexplore.ieee.org/document/6691120/</t>
  </si>
  <si>
    <t>[c-1] It refers to Yao/Higgs 2010 - Boyd 2009. See Table V with ref to Boyd but this does not fit what is found in Boyd Tables. For this reason, all the data points are not considered, only the last one. Data might be extrapolated from Yao as it does not appear explicitely in 2010 paper. Logic, memory and HDD taken into account in total Si surface</t>
  </si>
  <si>
    <t>DTCO including Sustainability: Power-Performance-Area-Cost-Environmental score (PPACE) Analysis for Logic Technologies</t>
  </si>
  <si>
    <t>Bardon</t>
  </si>
  <si>
    <t>https://ieeexplore.ieee.org/document/9372004/</t>
  </si>
  <si>
    <t xml:space="preserve">GLO
[c-2] </t>
  </si>
  <si>
    <t>[c-1] Refers to Boyd 2012 estimation (Infrastructure load : 40% of total)
[c-2] Different scenarios are available for different energy mixes, details on "Garcia Bardon details" sheet
[c-3] FE = FEOL + MOL + BEOL</t>
  </si>
  <si>
    <t>[c-1] Refers to Boyd 2012 estimation (Infrastructure load : 40% of total)
[c-2] Different scenarios are available for different energy mixes
[c-3] FE = FEOL + MOL + BEOL</t>
  </si>
  <si>
    <t xml:space="preserve">	
Integrative approaches to environmental life cycle assessment of consumer electronics and connected media</t>
  </si>
  <si>
    <t>Teehan</t>
  </si>
  <si>
    <t>https://doi.org/10.14288/1.0167496</t>
  </si>
  <si>
    <t>Based on a statistical study of 11 existing products, a first-order model for estimation has been derived.
See p.62 : Raw material extraction, processing, final assembly, and transport are included. Modeling assumptions are equivalent to those used in previous ecoinvent studies.
[c-1] Strong dependencies, e.g. ecoinvent and Boyd.
[c-2] US for use phase but for production, no detail.
[c-3] see p.141</t>
  </si>
  <si>
    <t>Values adjusted for Hischier et al (2007), see details in sheet "Teehan data".
[c-1] Strong dependencies, e.g. ecoinvent and Boyd.
[c-2] US for use phase but for production, no detail.
[c-3] see p.141</t>
  </si>
  <si>
    <t>Values adjusted for IVF (2007), see details in sheet "Teehan data".
[c-1] Strong dependencies, e.g. ecoinvent and Boyd.
[c-2] US for use phase but for production, no detail.
[c-3] see p.141</t>
  </si>
  <si>
    <t>Values adjusted for Boyd (2009), see details in sheet "Teehan data".
[c-1] Strong dependencies, e.g. ecoinvent and Boyd.
[c-2] US for use phase but for production, no detail.
[c-3] see p.141</t>
  </si>
  <si>
    <t>Values adjusted for Andrae and Anderson (2010), see details in sheet "Teehan data".
[c-1] Strong dependencies, e.g. ecoinvent and Boyd.
[c-2] US for use phase but for production, no detail.
[c-3] see p.141</t>
  </si>
  <si>
    <t>Sustainable IC design and fabrication</t>
  </si>
  <si>
    <t>Kline</t>
  </si>
  <si>
    <t>https://doi.org/10.1109/IGCC.2017.8323572</t>
  </si>
  <si>
    <t>L, M</t>
  </si>
  <si>
    <t>[c-1] Murphy (2003) + Apple (2015)</t>
  </si>
  <si>
    <t>https://doi.org/10.1109/IGCC.2017.8323573</t>
  </si>
  <si>
    <t>https://doi.org/10.1109/IGCC.2017.8323574</t>
  </si>
  <si>
    <t>https://doi.org/10.1109/IGCC.2017.8323575</t>
  </si>
  <si>
    <t>https://doi.org/10.1109/IGCC.2017.8323576</t>
  </si>
  <si>
    <t>https://doi.org/10.1109/IGCC.2017.8323577</t>
  </si>
  <si>
    <t>https://doi.org/10.1109/IGCC.2017.8323578</t>
  </si>
  <si>
    <t xml:space="preserve">http://www.atlantis-press.com/php/paper-details.php?id=25860375 </t>
  </si>
  <si>
    <t xml:space="preserve">N
</t>
  </si>
  <si>
    <t>Average GWP for the memories of the smartphone assessed
[c-1] Based on a mix of Ericsson private data, Sony data &amp; GaBi results</t>
  </si>
  <si>
    <t>Values given p.135-136: 6.9 tCO2e for 1 m2 of DRAM wafer.
Note: The reference period is the year 2005.
[c-1] Based on a mix of ecoinvent data and internal data from the M+W GmbH but also Boyd etc
[c-2] [c-5] EU in ecoinvent but The geographic reference area of the primary data is
the world because it contains average data for approximately 80% of the world’s semiconductor fabrication.
[c-3] see p.127: yield for DRAM is 91%
[c-4] see p.133
[c-5] Subsequent manufacturing steps like dicing and packaging, utilization, and waste disposal of the final products were not included.</t>
  </si>
  <si>
    <t> </t>
  </si>
  <si>
    <t>Environmental Implications of Product Servicising. The Case of Outsourced Computing Utilities</t>
  </si>
  <si>
    <t>Plepys</t>
  </si>
  <si>
    <t>https://citeseerx.ist.psu.edu/viewdoc/download?doi=10.1.1.118.6922&amp;rep=rep1&amp;type=pdf</t>
  </si>
  <si>
    <t>US</t>
  </si>
  <si>
    <t>e-w</t>
  </si>
  <si>
    <t>Data from industry but only available in the literature thanks to Plepys (2004).
ATTENTION: values for GWP have NOT been published by Plepys: they have been extrapolated based on the values for the energy.</t>
  </si>
  <si>
    <t>https://download.atlantis-press.com/article/25860375.pdf</t>
  </si>
  <si>
    <t>Publication date of the paper : 2016
Note: (...) and emissions of high-emitting GWP gases have been reduced from around 1-1.5 kg CO2e/cm2 down to about 0.5 kg CO2e/cm2.</t>
  </si>
  <si>
    <t>Measures and trends in energy use of semiconductor manufacturing</t>
  </si>
  <si>
    <t>Deng</t>
  </si>
  <si>
    <t>https://doi.org/10.1109/ISEE.2008.4562905</t>
  </si>
  <si>
    <t>Publication date of the paper : 2008
Data reported for ASM
[c-0] Table 2</t>
  </si>
  <si>
    <t>https://doi.org/10.1109/ISEE.2008.4562906</t>
  </si>
  <si>
    <t>Publication date of the paper : 2008
Data reported for ASM
[c-0] Table 3</t>
  </si>
  <si>
    <t>https://doi.org/10.1109/ISEE.2008.4562907</t>
  </si>
  <si>
    <t>Publication date of the paper : 2008
Data reported for ASM
[c-0] Table 4</t>
  </si>
  <si>
    <t>https://doi.org/10.1109/ISEE.2008.4562908</t>
  </si>
  <si>
    <t>Publication date of the paper : 2008
Data reported for ASM
[c-0] Table 5</t>
  </si>
  <si>
    <t>https://doi.org/10.1109/ISEE.2008.4562909</t>
  </si>
  <si>
    <t>Publication date of the paper : 2008
Data reported for ASM
[c-0] Table 6</t>
  </si>
  <si>
    <t>https://doi.org/10.1109/ISEE.2008.4562910</t>
  </si>
  <si>
    <t>Publication date of the paper : 2008
Data reported for ASM
[c-0] Table 7</t>
  </si>
  <si>
    <t>https://doi.org/10.1109/ISEE.2008.4562911</t>
  </si>
  <si>
    <t>Publication date of the paper : 2008
Data reported for ASM
[c-0] Table 8</t>
  </si>
  <si>
    <t>https://doi.org/10.1109/ISEE.2008.4562912</t>
  </si>
  <si>
    <t>Publication date of the paper : 2008
Data reported for ASM
[c-0] Table 9</t>
  </si>
  <si>
    <t>https://doi.org/10.1109/ISEE.2008.4562913</t>
  </si>
  <si>
    <t>Publication date of the paper : 2008
Data reported for ASM
[c-0] Table 10</t>
  </si>
  <si>
    <t>https://doi.org/10.1109/ISEE.2008.4562914</t>
  </si>
  <si>
    <t>Publication date of the paper : 2008
Data reported for ASM
[c-0] Table 11</t>
  </si>
  <si>
    <t>https://doi.org/10.1109/ISEE.2008.4562915</t>
  </si>
  <si>
    <t>Publication date of the paper : 2008
Data reported for ASM
[c-0] Table 12</t>
  </si>
  <si>
    <t>TWN</t>
  </si>
  <si>
    <t>Publication date of the paper : 2008
Data reported for UMC
[c-0] Table 12</t>
  </si>
  <si>
    <t>https://doi.org/10.1109/ISEE.2008.4562916</t>
  </si>
  <si>
    <t>Publication date of the paper : 2008
Data reported for UMC
[c-0] Table 13</t>
  </si>
  <si>
    <t>https://doi.org/10.1109/ISEE.2008.4562917</t>
  </si>
  <si>
    <t>Publication date of the paper : 2008
Data reported for UMC
[c-0] Table 14</t>
  </si>
  <si>
    <t>https://doi.org/10.1109/ISEE.2008.4562918</t>
  </si>
  <si>
    <t>Publication date of the paper : 2008
Data reported for UMC
[c-0] Table 15</t>
  </si>
  <si>
    <t>https://doi.org/10.1109/ISEE.2008.4562919</t>
  </si>
  <si>
    <t>Publication date of the paper : 2008
Data reported for UMC
[c-0] Table 16</t>
  </si>
  <si>
    <t>https://doi.org/10.1109/ISEE.2008.4562920</t>
  </si>
  <si>
    <t>Publication date of the paper : 2008
Data reported for UMC
[c-0] Table 17</t>
  </si>
  <si>
    <t>https://doi.org/10.1109/ISEE.2008.4562921</t>
  </si>
  <si>
    <t>Publication date of the paper : 2008
Data reported for UMC
[c-0] Table 18</t>
  </si>
  <si>
    <t>https://doi.org/10.1109/ISEE.2008.4562922</t>
  </si>
  <si>
    <t>Publication date of the paper : 2008
Data reported for UMC
[c-0] Table 19</t>
  </si>
  <si>
    <t>Publication date of the paper : 2008
Reported for US micro-statistics</t>
  </si>
  <si>
    <t>The 1.7 KilogramMicrochip: Energy and Material Use inthe Production of Semiconductor Devices</t>
  </si>
  <si>
    <t>Williams</t>
  </si>
  <si>
    <t>https://doi.org/10.1021/es025643o</t>
  </si>
  <si>
    <t>EXTRAPOLATION DONE BY THE AUTHORS OF THIS STUDY</t>
  </si>
  <si>
    <t>Power consumption of semiconductor fabs in Taiwan</t>
  </si>
  <si>
    <t>Hu</t>
  </si>
  <si>
    <t>https://doi.org/10.1016/S0360-5442(03)00008-2</t>
  </si>
  <si>
    <t>150-200</t>
  </si>
  <si>
    <t>Publication date of the paper : 2003
EXTRAPOLATION DONE BY THE AUTHORS OF THIS STUDY</t>
  </si>
  <si>
    <t>https://doi.org/10.1016/S0360-5442(03)00008-3</t>
  </si>
  <si>
    <t>https://doi.org/10.1016/S0360-5442(03)00008-4</t>
  </si>
  <si>
    <t>https://doi.org/10.1016/S0360-5442(03)00008-5</t>
  </si>
  <si>
    <t>https://doi.org/10.1016/S0360-5442(03)00008-6</t>
  </si>
  <si>
    <t>https://doi.org/10.1016/S0360-5442(03)00008-7</t>
  </si>
  <si>
    <t>https://doi.org/10.1016/S0360-5442(03)00008-8</t>
  </si>
  <si>
    <t>https://doi.org/10.1016/S0360-5442(03)00008-9</t>
  </si>
  <si>
    <t>Semiconductors and Sustainability: Energy and Materials Use in
Integrated Circuit Manufacturing</t>
  </si>
  <si>
    <t>Branham</t>
  </si>
  <si>
    <t>http://hdl.handle.net/1721.1/46056</t>
  </si>
  <si>
    <t>UK</t>
  </si>
  <si>
    <t>Publication date of the paper : 2008
[c-1] comparison with Williams 2002
EXTRAPOLATION DONE BY THE AUTHORS OF THIS STUDY</t>
  </si>
  <si>
    <t>http://hdl.handle.net/1721.1/46057</t>
  </si>
  <si>
    <t>http://hdl.handle.net/1721.1/46058</t>
  </si>
  <si>
    <t>http://hdl.handle.net/1721.1/46059</t>
  </si>
  <si>
    <t>http://hdl.handle.net/1721.1/46060</t>
  </si>
  <si>
    <t>http://hdl.handle.net/1721.1/46061</t>
  </si>
  <si>
    <t>http://hdl.handle.net/1721.1/46062</t>
  </si>
  <si>
    <t>Development of Parametric Material, Energy, and Emission Inventories for Wafer Fabrication in the Semiconductor Industry</t>
  </si>
  <si>
    <t>Murphy</t>
  </si>
  <si>
    <t>https://doi.org/10.1021/es034434g</t>
  </si>
  <si>
    <t>Publication date of the paper : 2003
6-layers
EXTRAPOLATION DONE BY THE AUTHORS OF THIS STUDY</t>
  </si>
  <si>
    <t>Publication date of the paper : 2003
8-layers
EXTRAPOLATION DONE BY THE AUTHORS OF THIS STUDY</t>
  </si>
  <si>
    <t>Comparative Assessment of Life Cycle Assessment
Methods Used for Personal Computers</t>
  </si>
  <si>
    <t>Yao</t>
  </si>
  <si>
    <t>https://doi.org/10.1021/es903297k</t>
  </si>
  <si>
    <t>Publication date of the paper : 2010
EXTRAPOLATION DONE BY THE AUTHORS OF THIS STUDY</t>
  </si>
  <si>
    <t>2020 UMC Corporate Responsibility Report + 20-f Form UMC 2020</t>
  </si>
  <si>
    <t>UMC</t>
  </si>
  <si>
    <t>mix
[c-0]</t>
  </si>
  <si>
    <t>mix
[c-5]</t>
  </si>
  <si>
    <t>mix
[c-6]</t>
  </si>
  <si>
    <t>Asia
[c-4]</t>
  </si>
  <si>
    <t>[c-0] L, M, RF, A
[c-1] UMC is a pure-play foundry, providing mostly wafers or unpackaged dies.
[c-2] Even if numbers provided seems to integrate yield, it is not clearly written in the report.
[c-3] Scope 3 is provided, but the methodology is not described : we chose to not incorporate it in the calculation.
[c-4] Mainly R.O.C, but also China, Singapour and Japan.
[c-5] 500-14nm
[c-6] 300-200mm</t>
  </si>
  <si>
    <t>2019 UMC Corporate Responsibility Report + 20-f Form UMC 2019</t>
  </si>
  <si>
    <t>2018 UMC Corporate Responsibility Report + 20-f Form UMC 2018</t>
  </si>
  <si>
    <t>2017 UMC Corporate Responsibility Report + 20-f Form UMC 2017</t>
  </si>
  <si>
    <t>2016 UMC Corporate Responsibility Report + 20-f Form UMC 2016</t>
  </si>
  <si>
    <t>2015 UMC Corporate Responsibility Report + 20-f Form UMC 2015</t>
  </si>
  <si>
    <t>2014 UMC Corporate Responsibility Report + 20-f Form UMC 2014</t>
  </si>
  <si>
    <t>2013 UMC Corporate Responsibility Report + 20-f Form UMC 2013</t>
  </si>
  <si>
    <t>2012 UMC Corporate Responsibility Report + 20-f Form UMC 2012</t>
  </si>
  <si>
    <t>2011 UMC Corporate Responsibility Report + 20-f Form UMC 2011</t>
  </si>
  <si>
    <t>TSMC Corporate Social Responsibility Report 2020 + 20-f form TSMC 2020</t>
  </si>
  <si>
    <t>TSMC</t>
  </si>
  <si>
    <t>[c-0] L, M, RF, A
[c-1] TSMC is a pure-play foundry, provided numbers include wafers or unpackaged dies.
[c-2] Even if numbers provided seems to integrate yield, it is not clearly written in the report.
[c-3] Scope 3 is provided, but the methodology is not described : we chose to not incorporate it in the calculation.
[c-4] Mainly R.O.C, but also USA and China
[c-5] 3000 - 5
[c-6] 300-200-100mm</t>
  </si>
  <si>
    <t>TSMC Corporate Social Responsibility Report 2019 + 20-f form TSMC 2019</t>
  </si>
  <si>
    <t>TSMC Corporate Social Responsibility Report 2018 + 20-f form TSMC 2018</t>
  </si>
  <si>
    <t>[c-0] L, M, RF, A
[c-1] TSMC is a pure-play foundry, provided numbers include wafers or unpackaged dies.
[c-2] Even if numbers provided seems to integrate yield, it is not clearly written in the report.
[c-3] Scope 3 is provided, but the methodology is not described : we chose to not incorporate it in the calculation.
[c-4] Mainly R.O.C, but also USA and China
[c-5] 3000 - 7
[c-6] 300-200-100mm</t>
  </si>
  <si>
    <t>TSMC Corporate Social Responsibility Report 2017 + 20-f form TSMC 2017</t>
  </si>
  <si>
    <t>[c-0] L, M, RF, A
[c-1] TSMC is a pure-play foundry, provided numbers include wafers or unpackaged dies.
[c-2] Even if numbers provided seems to integrate yield, it is not clearly written in the report.
[c-3] Scope 3 is provided, but the methodology is not described : we chose to not incorporate it in the calculation.
[c-4] Mainly R.O.C, but also USA and China
[c-5] 3000 - 10
[c-6] 300-200-100mm</t>
  </si>
  <si>
    <t>TSMC Corporate Social Responsibility Report 2016 + 20-f form TSMC 2016</t>
  </si>
  <si>
    <t>[c-0] L, M, RF, A
[c-1] TSMC is a pure-play foundry, provided numbers include wafers or unpackaged dies.
[c-2] Even if numbers provided seems to integrate yield, it is not clearly written in the report.
[c-3] Scope 3 is provided, but the methodology is not described : we chose to not incorporate it in the calculation.
[c-4] Mainly R.O.C, but also USA and China
[c-5] 3000 - 16
[c-6] 300-200-100mm</t>
  </si>
  <si>
    <t>TSMC Corporate Social Responsibility Report 2015 + 20-f form TSMC 2015</t>
  </si>
  <si>
    <t>TSMC Corporate Social Responsibility Report 2014 + 20-f form TSMC 2014</t>
  </si>
  <si>
    <t>[c-0] L, M, RF, A
[c-1] TSMC is a pure-play foundry, provided numbers include wafers or unpackaged dies.
[c-2] Even if numbers provided seems to integrate yield, it is not clearly written in the report.
[c-3] Information not provided inside CSR and 20F form.
[c-4] Mainly R.O.C, but also USA and China
[c-5] 3000 - 16
[c-6] 300-200-100mm</t>
  </si>
  <si>
    <t>TSMC Corporate Social Responsibility Report 2013 + 20-f form TSMC 2013</t>
  </si>
  <si>
    <t>TSMC Corporate Social Responsibility Report 2012 + 20-f form TSMC 2012</t>
  </si>
  <si>
    <t>[c-0] L, M, RF, A
[c-1] TSMC is a pure-play foundry, provided numbers include wafers or unpackaged dies.
[c-2] Even if numbers provided seems to integrate yield, it is not clearly written in the report.
[c-3] Information not provided inside CSR and 20F form.
[c-4] Mainly R.O.C, but also USA and China
[c-5] 3000 - 28
[c-6] 300-200-100mm</t>
  </si>
  <si>
    <t>TSMC Corporate Social Responsibility Report 2011 + 20-f form TSMC 2011</t>
  </si>
  <si>
    <t>TSMC Corporate Social Responsibility Report 2010 + 20-f form TSMC 2010</t>
  </si>
  <si>
    <t>[c-0] L, M, RF, A
[c-1] TSMC is a pure-play foundry, provided numbers include wafers or unpackaged dies.
[c-2] Even if numbers provided seems to integrate yield, it is not clearly written in the report.
[c-3] Information not provided inside CSR and 20F form.
[c-4] Mainly R.O.C, but also USA and China
[c-5] 3000 - 45
[c-6] 300-200-100mm</t>
  </si>
  <si>
    <t>STMicro 2021 Sustainability Report + 20-f form STMicro 2020</t>
  </si>
  <si>
    <t>STmicro</t>
  </si>
  <si>
    <t>EU
[c-4]</t>
  </si>
  <si>
    <t>[c-0] L,M,A,RF, MEMS
[c-1] STMicro is an IDM, but provided numbers include only numbers wafers manufacturing.
[c-2] Even if numbers provided seems to integrate yield, it is not clearly written in the report.
[c-3] Scope 3 provided but surprisingly low. The methodology is not described : we chose to not incorporate it in the calculation.
[c-4] 4 fabs in France, 4 fabs in Italy and 2 fabs in Singapore
[c-5] 300-200-150mm</t>
  </si>
  <si>
    <t>STMicro 2020 Sustainability Report + 20-f form STMicro 2019</t>
  </si>
  <si>
    <t>STMicro 2019 Sustainability Report + 20-f form STMicro 2018</t>
  </si>
  <si>
    <t>STMicro 2018 Sustainability Report + 20-f form STMicro 2017</t>
  </si>
  <si>
    <t>STMicro 2017 Sustainability Report + 20-f form STMicro 2016</t>
  </si>
  <si>
    <t>STMicro 2016 Sustainability Report + 20-f form STMicro 2015</t>
  </si>
  <si>
    <t>STMicro 2014 Sustainability Report + 20-f form STMicro 2014</t>
  </si>
  <si>
    <t>STMicro 2013 Sustainability Report + 20-f form STMicro 2013</t>
  </si>
  <si>
    <t>STMicro 2012 Sustainability Report + 20-f form STMicro 2012</t>
  </si>
  <si>
    <t>STMicro 2011 Sustainability Report + 20-f form STMicro 2011</t>
  </si>
  <si>
    <t>SMIC</t>
  </si>
  <si>
    <t>https://www.smics.com/uploads/1_&amp;e4&amp;b8&amp;ad&amp;e8&amp;8a&amp;af&amp;e5&amp;9b&amp;bd&amp;e9&amp;99&amp;85&amp;e7&amp;a4&amp;be&amp;e4&amp;bc&amp;9a&amp;e8&amp;b4&amp;a3&amp;e4&amp;bb&amp;bb&amp;e6&amp;8a&amp;a5&amp;e5&amp;91&amp;8a-&amp;e8&amp;8b&amp;b1&amp;e6&amp;96&amp;87&amp;e6&amp;8c&amp;82&amp;e7&amp;bd&amp;91&amp;e7&amp;89&amp;887.26-5.pdf</t>
  </si>
  <si>
    <t>[c-0] L,M,A,RF
[c-1] SMIC is a pure-play foundry, provided numbers include wafers or unpackaged dies.
[c-2] Even if numbers provided seems to integrate yield, it is not clearly written in the report.
[c-3] Information not provided inside CSR and financial report.
[c-4] 7 fabs in China
[c-5] 350-14nm
[c-6] 300-200mm</t>
  </si>
  <si>
    <t>https://www.smics.com/uploads/2019%20SMIC%20CSR%20Report%20Final-&amp;e8&amp;8b&amp;b1&amp;e6&amp;96&amp;87.pdf</t>
  </si>
  <si>
    <t>https://www.smics.com/uploads/2018%20CSR%20Report-EN.pdf</t>
  </si>
  <si>
    <t>[c-0] L,M,A,RF
[c-1] SMIC is a pure-play foundry, provided numbers include wafers or unpackaged dies.
[c-2] Even if numbers provided seems to integrate yield, it is not clearly written in the report.
[c-3] Information not provided inside CSR and financial report.
[c-4] 7 fabs in China
[c-5] 350-28nm
[c-6] 300-200mm</t>
  </si>
  <si>
    <t>https://www.smics.com/uploads/2017%20SMIC%20CSR%20Report%20_EN.pdf</t>
  </si>
  <si>
    <t>https://www.smics.com/uploads/2016_SMIC_CSR_Report.pdf</t>
  </si>
  <si>
    <t>https://www.smics.com/uploads/2015_SMIC_CSR_Report.pdf</t>
  </si>
  <si>
    <t>https://www.smics.com/uploads/2014_SMIC_CSR_Report.pdf</t>
  </si>
  <si>
    <t>[c-0] L,M,A,RF
[c-1] SMIC is a pure-play foundry, provided numbers include wafers or unpackaged dies.
[c-2] Even if numbers provided seems to integrate yield, it is not clearly written in the report.
[c-3] Information not provided inside CSR and financial report.
[c-4] 7 fabs in China
[c-5] 350-40nm
[c-6] 300-200mm</t>
  </si>
  <si>
    <t>https://www.smics.com/uploads/2013_SMIC_CSR_Report.pdf</t>
  </si>
  <si>
    <t>https://www.smics.com/uploads/2011-2012_SMIC_CSR_Report.pdf</t>
  </si>
  <si>
    <t>[c-0] L,M,A,RF
[c-1] SMIC is a pure-play foundry, provided numbers include wafers or unpackaged dies.
[c-2] Even if numbers provided seems to integrate yield, it is not clearly written in the report.
[c-3] Information not provided inside CSR and financial report.
[c-4] 7 fabs in China
[c-5] 350-45nm
[c-6] 300-200mm</t>
  </si>
  <si>
    <t>GF</t>
  </si>
  <si>
    <t>https://www.globalfoundries.com/sites/default/files/2021-01/gf_2020_csr_report.pdf</t>
  </si>
  <si>
    <t>GLO
[c-4]</t>
  </si>
  <si>
    <t>[c-0] L,M,A,RF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350-12 nm
[c-6] 300-200mm</t>
  </si>
  <si>
    <t>https://gf.com/sites/default/files/gf_crr19_0808_final_2.pdf</t>
  </si>
  <si>
    <t>https://gf.com/sites/default/files/gf_crr18_1219a.pdf</t>
  </si>
  <si>
    <t>[c-0] L,M,A,RF,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350-14 nm
[c-6] 300-200mm</t>
  </si>
  <si>
    <t>https://gf.com/sites/default/files/globalfoundries-2017-csr-report-final.pdf</t>
  </si>
  <si>
    <t>[c-0] L,M,A,RF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350-14 nm
[c-6] 300-200mm</t>
  </si>
  <si>
    <t>https://gf.com/sites/default/files/gf-2016-csr-report-12-21-16.pdf</t>
  </si>
  <si>
    <t>https://gf.com/sites/default/files/globalfoundries-corporate-responsibility-report-9-23-final.pdf</t>
  </si>
  <si>
    <t>[c-0] L,M,A,RF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350-28 nm
[c-6] 300-200mm</t>
  </si>
  <si>
    <t>https://gf.com/sites/default/files/2012-corporate-responsibility-report.pdf</t>
  </si>
  <si>
    <t>[c-0] L,M,A,RF, MEMS
[c-1] GlobalFoundries is a pure-play foundry, provided numbers include wafers or unpackaged dies.
[c-2] Even if numbers provided seems to integrate yield, it is not clearly written in the report.
[c-3] Information not provided inside CSR and 20F form.
[c-4]3 fabs in US, 1 fab in Germany, and 4 fab in Singapore
[c-5] 350-28 nm
[c-6] 300-200mm</t>
  </si>
  <si>
    <t>ITRS ESH</t>
  </si>
  <si>
    <t>ITRS</t>
  </si>
  <si>
    <t xml:space="preserve">https://eps.ieee.org/images/files/Roadmap/ITRSESH2015.pdf </t>
  </si>
  <si>
    <t>Publication date for data: 2015
[c-1] cm2 per wafer out
Normalized emission rate (NER) to be 0.22 kgCO2eq/cm2 by 2020, as agreed to by the World Semiconductor Council (WSC). Important: only for emissions of PFC etc... not the value for the whole GWP/cm2 impact.
[c-2] see p.20 in Notes for Table ESH5: Fab = manufacturing space + support systems</t>
  </si>
  <si>
    <t>GaBi</t>
  </si>
  <si>
    <t>Sphera</t>
  </si>
  <si>
    <t>https://gabi.sphera.com/international/databases/gabi-databases/electronics/</t>
  </si>
  <si>
    <t>GLO
[c-1]</t>
  </si>
  <si>
    <t>hybrid
[c-4]</t>
  </si>
  <si>
    <t>[c-1] The production location (energy, materials and fuels) representing a mix of IC producing nations weighted by installed manufacturing capacity.
[c-2] Material and energy consumption of overhead infrastructure included, manufacturing of infrastructure not. Upstream materials are included.
[c-3] Although all process details are not provided, an extensive documentation is available for the users, e.g., http://gabi-documentation-2022.gabi-software.com/xml-data/processes/8a288aab-127f-45c4-9218-ab0308e1c739.xml.
[c-4] Hybrid : process-based for the material-, energy consumption and direct process emission of the manufacturing equipment, top-down
for overheads.</t>
  </si>
  <si>
    <t>M
[c-2]</t>
  </si>
  <si>
    <t>hybrid
[c-5]</t>
  </si>
  <si>
    <t>[c-1] The production location (energy, materials and fuels) representing a mix of IC producing nations weighted by installed manufacturing capacity.
[c-2] DRAM
[c-3] Material and energy consumption of overhead infrastructure included, manufacturing of infrastructure not. Upstream materials are included.
[c-4] Although all process details are not provided, an extensive documentation is available for the users, e.g., http://gabi-documentation-2022.gabi-software.com/xml-data/processes/8a288aab-127f-45c4-9218-ab0308e1c739.xml.
[c-5] Hybrid : process-based for the material-, energy consumption and direct process emission of the manufacturing equipment, top-down
for overheads.</t>
  </si>
  <si>
    <t>[c-1] The production location (energy, materials and fuels) representing a mix of IC producing nations weighted by installed manufacturing capacity.
[c-2] Flash
[c-3] Material and energy consumption of overhead infrastructure included, manufacturing of infrastructure not. Upstream materials are included.
[c-4] Although all process details are not provided, an extensive documentation is available for the users, e.g., http://gabi-documentation-2022.gabi-software.com/xml-data/processes/8a288aab-127f-45c4-9218-ab0308e1c739.xml.
[c-5] Hybrid : process-based for the material-, energy consumption and direct process emission of the manufacturing equipment, top-down
for overheads.</t>
  </si>
  <si>
    <t>EIME</t>
  </si>
  <si>
    <t>BureauVeritas</t>
  </si>
  <si>
    <t>see sheet "EIME data"</t>
  </si>
  <si>
    <t>[c-1] pre-yield data, wafer level
[c-2] based mainly on TSMC data</t>
  </si>
  <si>
    <t>Ecoinvent</t>
  </si>
  <si>
    <t>SimaPro and ecoinvent documentation</t>
  </si>
  <si>
    <t>200
[c-4]</t>
  </si>
  <si>
    <t>GLO
[c-5]</t>
  </si>
  <si>
    <t>[c-1] Teehan 2014, William 2002, Hischier 2007, ST micro 2004, SEMI 2012
[c-2] considered through electronic component factory
[c-3] From reception of process chemicals, process gases and silicon wafer at the factory gate. 
[c-4]  in wafer production documentation, 200mm wafer, data from 2000 + FU is per INPUT wafer, 55% yield considered
[c-5] The data is based on two semiconductor companies in the USA and Western Europe representing international standard.
Validity period: 2000-2006. Last Edit: 2016. Still available in ecoinvent v3.5 (2018)</t>
  </si>
  <si>
    <t>ENERGY</t>
  </si>
  <si>
    <t>[c-1] see Table 3-7, p. 24 for front-end and see section "back-end processes" : "(...) Therefore it is assumed, that one third of the electricity consumption is for back-end and two third for front-end processes." : This is what we assume here.
[c-2]  S.B. Boyd (2012), Schmidt (2011)
[c-3] see p.24 number of good dies per wafer
[c-4] Mainly EU for the use phase but Chinese energy mix is considered for final assembly for instance, see section 3.1.8. p.21.
[c-5] Primary data for the final assembly process was obtained
from Hi-P.</t>
  </si>
  <si>
    <t>Note: see Table 3-7, p. 24
[c-1]  S.B. Boyd (2012), Prakash (2013)
[c-2] Deducted from Boyd (2012)
[c-3] BE is not mentioned explicitely in the report. Front-end tables are the same then in Proske 2016 but in Proske 2020, no presence of BE.
[c-4] Mainly EU for the use phase but Chinese energy mix is considered for final assembly for instance (section 3.1.13) and Chinese mix in Table 3-8.</t>
  </si>
  <si>
    <t xml:space="preserve">[c-1] Refers to Boyd 2012 
[c-2] FE = FEOL + MOL + BEOL
</t>
  </si>
  <si>
    <t xml:space="preserve">[c-1] Refers to Boyd 2012
[c-2] EUV process taken into account
[c-3] FE = FEOL + MOL + BEOL
</t>
  </si>
  <si>
    <t xml:space="preserve">[c-1]  Process steps mentionned to be taken into account but no details are given
[c-2] Normalization is given in MJ/die, normalization to MJ/cm^2 is described on "Boyd details" sheet
[c-3] Die packaging is considered see p.38 BUT we cannot find the data associated with the back-end.
[c-4] Mainly from Krishnan (2008, Applied Materials) and Murphy (2003)
</t>
  </si>
  <si>
    <t>[c-1]  Process steps mentionned to be taken into account but no details are given
[c-2] Normalization is given in MJ/die, normalization to MJ/cm^2 is described on "Boyd details" sheet
[c-3] Die packaging is considered see p.38 BUT we cannot find the data associated with the back-end.</t>
  </si>
  <si>
    <t>Average electricity consumption for processors and ASICs for the smartphone assessed
[c-1] Based on a mix of Ericsson private data, Sony data &amp; GaBi results</t>
  </si>
  <si>
    <t>A 25MHz 7μW/MHz ultra-low-voltage microcontroller SoC in 65nm LP/GP CMOS for low-carbon wireless sensor nodes</t>
  </si>
  <si>
    <t>N
[c-2]</t>
  </si>
  <si>
    <t>[c-1] We carried out a review of the
scientific LCA literature for these components to generate
a preliminary carbon footprint model for WSN production. + Boyd
[c-2] absolute and die size, see sheet for more details</t>
  </si>
  <si>
    <t>Application-Aware LCA of Semiconductors: Life-Cycle Energy of Microprocessors from High-Performance 32nm CPU to Ultra-Low-Power 130nm MCU</t>
  </si>
  <si>
    <t>https://doi.org/10.1109/ISSST.2011.5936883</t>
  </si>
  <si>
    <t>[c-0] S.B. Boyd (2009), S.B. Boyd (2010), S.B. Boyd (2011)
[c-1] absolute and die size, see sheet for more details</t>
  </si>
  <si>
    <t>https://doi.org/10.1109/ISSST.2011.5936884</t>
  </si>
  <si>
    <t>https://doi.org/10.1109/ISSST.2011.5936885</t>
  </si>
  <si>
    <t>https://doi.org/10.1109/ISSST.2011.5936886</t>
  </si>
  <si>
    <t>https://doi.org/10.1109/ISSST.2011.5936887</t>
  </si>
  <si>
    <t>[c-0] S.B. Boyd (2009), S.B. Boyd (2010), S.B. Boyd (2011), F. Boeuf (2004)
[c-1] absolute and die size, see sheet for more details</t>
  </si>
  <si>
    <t>A Life-Cycle Energy and Inventory Analysis of FinFET Integrated Circuits</t>
  </si>
  <si>
    <t>Wang</t>
  </si>
  <si>
    <t>https://www.mpedram.com/Papers/lifecycle-inventory-analysis-finfet-issst14.pdf</t>
  </si>
  <si>
    <t>L
[c-0]</t>
  </si>
  <si>
    <t>[c-0] CMOS
[c-1] S.B. Boyd , MCC report
[c-2] absolute and die size, see sheet for more details</t>
  </si>
  <si>
    <t>[c-0] FinFET, LR
[c-1] S.B. Boyd , MCC report
[c-2] absolute and die size, see sheet for more details</t>
  </si>
  <si>
    <t>[c-0] FinFET, HR
[c-1] S.B. Boyd , MCC report
[c-2] absolute and die size, see sheet for more details</t>
  </si>
  <si>
    <t>Values adjusted for Williams (2004), see details in sheet "Teehan data".
[c-1] Strong dependencies, e.g. ecoinvent and Boyd.
[c-2] US for use phase but for production, no detail.
[c-3] see p.141</t>
  </si>
  <si>
    <t>Values adjusted for Williams (2002), see details in sheet "Teehan data".
[c-1] Strong dependencies, e.g. ecoinvent and Boyd.
[c-2] US for use phase but for production, no detail.
[c-3] see p.141</t>
  </si>
  <si>
    <t>Values adjusted for Krishnan (2008), see details in sheet "Teehan data".
[c-1] Strong dependencies, e.g. ecoinvent and Boyd.
[c-2] US for use phase but for production, no detail.
[c-3] see p.141</t>
  </si>
  <si>
    <t>Schaffung einer Datenbasis zur Ermittlung ökologischer Wirkungen der Produkte der Informations und
Kommunikationstechnik (IKT)</t>
  </si>
  <si>
    <t>Prakash</t>
  </si>
  <si>
    <t>https://www.umweltbundesamt.de/sites/default/files/medien/378/publikationen/texte_82_2013_janssen_informationstechnik_teil_c.pdf</t>
  </si>
  <si>
    <t>DRAM DDR3
[c-1] p.43-44 + p.54 Tabelle 30
[c-2] Boyd, Williams, Samsung
[c-3] Tabelle 31 p.55 gives energy for the BE but very low. See Tabelle 26 and Tabelle 27 p. 51: 25-37% contribution.</t>
  </si>
  <si>
    <t>[c-1] Normalization is given in MJ/OS, normalization to MJ/cm^2 is described on "Boyd details" sheet
[c-2] Mainly from Krishnan (2008) and Murphy (2003)
[c-3] Die packaging is considered see p.38 BUT we cannot find the data associated with the back-end.</t>
  </si>
  <si>
    <t>The global energy footprint of information and communication
technology electronics in connected Internet-of-Things devices</t>
  </si>
  <si>
    <t>Das</t>
  </si>
  <si>
    <t>https://doi.org/10.1016/j.segan.2020.100408</t>
  </si>
  <si>
    <t xml:space="preserve">[c-1] Explicitely extracted from GaBi 
[c-2] normalization per mm2 of package rather than per mm2 of chip </t>
  </si>
  <si>
    <t>https://doi.org/10.1016/j.segan.2020.100409</t>
  </si>
  <si>
    <t>https://doi.org/10.1016/j.segan.2020.100410</t>
  </si>
  <si>
    <t>https://doi.org/10.1016/j.segan.2020.100411</t>
  </si>
  <si>
    <t>https://doi.org/10.1016/j.segan.2020.100412</t>
  </si>
  <si>
    <t>https://doi.org/10.1016/j.segan.2020.100413</t>
  </si>
  <si>
    <t>https://doi.org/10.1016/j.segan.2020.100414</t>
  </si>
  <si>
    <t>https://doi.org/10.1016/j.segan.2020.100415</t>
  </si>
  <si>
    <t>https://doi.org/10.1016/j.segan.2020.100416</t>
  </si>
  <si>
    <t>https://doi.org/10.1016/j.segan.2020.100417</t>
  </si>
  <si>
    <t>https://doi.org/10.1016/j.segan.2020.100418</t>
  </si>
  <si>
    <t>https://doi.org/10.1016/j.segan.2020.100419</t>
  </si>
  <si>
    <t>https://doi.org/10.1016/j.segan.2020.100420</t>
  </si>
  <si>
    <t>https://doi.org/10.1016/j.segan.2020.100421</t>
  </si>
  <si>
    <t>Data from industry but only available in the literature thanks to Plepys (2004).</t>
  </si>
  <si>
    <t>Publication date of the paper : 2016
[c-1] Both values are given in the paper: with and without yields: so both are reported here but in different lines as the scope is not the same</t>
  </si>
  <si>
    <t>Publication date of the paper : 2016</t>
  </si>
  <si>
    <t>Economic-balance hybrid LCA extended with uncertainty analysis: case study of a laptop computer</t>
  </si>
  <si>
    <t>https://doi.org/10.1016/j.jclepro.2011.03.004</t>
  </si>
  <si>
    <t>Publication date of the paper : 2011</t>
  </si>
  <si>
    <t>https://doi.org/10.1016/j.jclepro.2011.03.005</t>
  </si>
  <si>
    <t>https://doi.org/10.1016/j.jclepro.2011.03.006</t>
  </si>
  <si>
    <t>https://doi.org/10.1016/j.jclepro.2011.03.007</t>
  </si>
  <si>
    <t>[c-1] see p.5509</t>
  </si>
  <si>
    <t>A Hybrid Life Cycle Inventory of Nano-Scale Semiconductor Manufacturing</t>
  </si>
  <si>
    <t>Krishnan</t>
  </si>
  <si>
    <t>https://pubs.acs.org/doi/abs/10.1021/es071174k</t>
  </si>
  <si>
    <t>https://doi.org/10.1109/ISEE.2008.4562888</t>
  </si>
  <si>
    <t>Publication date of the paper : 2008
Reported for ASM
[c-0] Table 2</t>
  </si>
  <si>
    <t>https://doi.org/10.1109/ISEE.2008.4562889</t>
  </si>
  <si>
    <t>https://doi.org/10.1109/ISEE.2008.4562890</t>
  </si>
  <si>
    <t>https://doi.org/10.1109/ISEE.2008.4562891</t>
  </si>
  <si>
    <t>https://doi.org/10.1109/ISEE.2008.4562892</t>
  </si>
  <si>
    <t>https://doi.org/10.1109/ISEE.2008.4562893</t>
  </si>
  <si>
    <t>https://doi.org/10.1109/ISEE.2008.4562894</t>
  </si>
  <si>
    <t>https://doi.org/10.1109/ISEE.2008.4562895</t>
  </si>
  <si>
    <t>https://doi.org/10.1109/ISEE.2008.4562896</t>
  </si>
  <si>
    <t>https://doi.org/10.1109/ISEE.2008.4562897</t>
  </si>
  <si>
    <t>https://doi.org/10.1109/ISEE.2008.4562898</t>
  </si>
  <si>
    <t>Publication date of the paper : 2008
Reported for UMC
[c-0] Table 2</t>
  </si>
  <si>
    <t>https://doi.org/10.1109/ISEE.2008.4562899</t>
  </si>
  <si>
    <t>https://doi.org/10.1109/ISEE.2008.4562900</t>
  </si>
  <si>
    <t>https://doi.org/10.1109/ISEE.2008.4562901</t>
  </si>
  <si>
    <t>https://doi.org/10.1109/ISEE.2008.4562902</t>
  </si>
  <si>
    <t>https://doi.org/10.1109/ISEE.2008.4562903</t>
  </si>
  <si>
    <t>https://doi.org/10.1109/ISEE.2008.4562904</t>
  </si>
  <si>
    <t>Publication date of the paper : 2003</t>
  </si>
  <si>
    <t>Publication date of the paper : 2008
[c-1] comparison with Williams 2002</t>
  </si>
  <si>
    <t>Publication date of the paper : 2003
6-layers</t>
  </si>
  <si>
    <t>Publication date of the paper : 2003
8-layers</t>
  </si>
  <si>
    <t>Publication date of the paper : 2010</t>
  </si>
  <si>
    <t>[c-0] L, M, RF, A
[c-1] UMC is a pure-play foundry, providing mostly wafers or unpackaged dies.
[c-2] Even numbers provided seem to integrate yield, it is not clearly written in the report.
[c-3] Scope 3 is provided, but the methodology is not described : we chose to not incorporate it in the calculation.
[c-4] Mainly R.O.C, but also China, Singapour and Japan.
[c-5] 500-14nm
[c-6] 300-200mm</t>
  </si>
  <si>
    <t>[c-0] L, M, RF, A
[c-1] TSMC is a pure-play foundry, provided numbers includes wafers or unpackaged dies.
[c-2] Even numbers provided seem to integrate yield, it is not clearly written in the report.
[c-3] Scope 3 is provided, but the methodology is not described : we chose to not incorporate it in the calculation.
[c-4] Mainly R.O.C, but also USA and China
[c-5] 3000 - 5
[c-6] 300-200-100mm</t>
  </si>
  <si>
    <t>[c-0] L, M, RF, A
[c-1] TSMC is a pure-play foundry, provided numbers includes wafers or unpackaged dies.
[c-2] Even numbers provided seem to integrate yield, it is not clearly written in the report.
[c-3] Scope 3 is provided, but the methodology is not described : we chose to not incorporate it in the calculation.
[c-4] Mainly R.O.C, but also USA and China
[c-5] 3000 - 7
[c-6] 300-200-100mm</t>
  </si>
  <si>
    <t>[c-0] L, M, RF, A
[c-1] TSMC is a pure-play foundry, provided numbers includes wafers or unpackaged dies.
[c-2] Even numbers provided seem to integrate yield, it is not clearly written in the report.
[c-3] Scope 3 is provided, but the methodology is not described : we chose to not incorporate it in the calculation.
[c-4] Mainly R.O.C, but also USA and China
[c-5] 3000 - 10
[c-6] 300-200-100mm</t>
  </si>
  <si>
    <t>[c-0] L, M, RF, A
[c-1] TSMC is a pure-play foundry, provided numbers includes wafers or unpackaged dies.
[c-2] Even numbers provided seem to integrate yield, it is not clearly written in the report.
[c-3] Scope 3 is provided, but the methodology is not described : we chose to not incorporate it in the calculation.
[c-4] Mainly R.O.C, but also USA and China
[c-5] 3000 - 16
[c-6] 300-200-100mm</t>
  </si>
  <si>
    <t>[c-0] L, M, RF, A
[c-1] TSMC is a pure-play foundry, provided numbers includes wafers or unpackaged dies.
[c-2] Even numbers provided seem to integrate yield, it is not clearly written in the report.
[c-3] Information not provided inside CSR and 20F form.
[c-4] Mainly R.O.C, but also USA and China
[c-5] 3000 - 16
[c-6] 300-200-100mm</t>
  </si>
  <si>
    <t>[c-0] L, M, RF, A
[c-1] TSMC is a pure-play foundry, provided numbers includes wafers or unpackaged dies.
[c-2] Even numbers provided seem to integrate yield, it is not clearly written in the report.
[c-3] Information not provided inside CSR and 20F form.
[c-4] Mainly R.O.C, but also USA and China
[c-5] 3000 - 28
[c-6] 300-200-100mm</t>
  </si>
  <si>
    <t>[c-0] L, M, RF, A
[c-1] TSMC is a pure-play foundry, provided numbers includes wafers or unpackaged dies.
[c-2] Even numbers provided seem to integrate yield, it is not clearly written in the report.
[c-3] Information not provided inside CSR and 20F form.
[c-4] Mainly R.O.C, but also USA and China
[c-5] 3000 - 45
[c-6] 300-200-100mm</t>
  </si>
  <si>
    <t>EU [c-4]</t>
  </si>
  <si>
    <t>[c-0] L,M,A,RF, MEMS
[c-1] STMicro is an IDM, but provided numbers includes only numbers wafers manufacturing.
[c-2] Even numbers provided seem to integrate yield, it is not clearly written in the report.
[c-3] Information not provided inside CSR and 20-F Form
[c-4] 4 fabs in France, 4 fabs in Italy and 2 fabs in Singapore
[c-5] 300-200-150mm</t>
  </si>
  <si>
    <t>Publication date for data: 2015
NON EUV
[c-1] cm2 per wafer out
[c-2] Total Fab energy usage, + see p.20 in Notes for Table ESH5: Fab = manufacturing space + support systems</t>
  </si>
  <si>
    <t>Publication date for data: 2015
EUV
[c-1] cm2 per wafer out
[c-2] Total Fab energy usage, + see p.20 in Notes for Table ESH5: Fab = manufacturing space + support systems</t>
  </si>
  <si>
    <t>h</t>
  </si>
  <si>
    <t>WATER</t>
  </si>
  <si>
    <t>[c-0] Infrastructure payload is taken from Boyd results (40%). This is taken as first approximation
[c-1] Refers to Boyd 2012
[c-2]  Result is total UPW for the fabrication process, upstream water usage is not taken into account. Recycling can be as high as 88% but whether it is included or not in the result is unclear
[c-3] FE = FEOL + MOL + BEOL</t>
  </si>
  <si>
    <t>N
[c-6]</t>
  </si>
  <si>
    <t>Y
[c-5]</t>
  </si>
  <si>
    <t>[c-1] US- average for fab electricity upstream water usage
[c-2] Process steps mentionned to be taken into account but no details are given
[c-3] Normalization is given in L/die, normalization to L/cm^2 is described on "Boyd details" sheet 
[c-4] Recycling of post-process UPW is not assumed 
[c-5] Mainly Krishnan (2008) and Murphy (2003)
[c-6] Die packaging is considered see p.38 BUT we cannot find the data associated with the back-end.</t>
  </si>
  <si>
    <t xml:space="preserve">https://www.umweltbundesamt.de/publikationen/schaffung-einer-datenbasis-zur-ermittlung </t>
  </si>
  <si>
    <t>M
[c-1]</t>
  </si>
  <si>
    <t>mix
[c-2]</t>
  </si>
  <si>
    <t>see Tabelle 30 p.54
[c-1] DRAM DDR3
[c-2] form sent to experts of the field, to create new data for screen and memory ICs + litterature 
[c-3] 73% yield considered
[c-4] production of chemicals etc are NOT included. But the production of Si ingot etc is considered, but main chemicals are considered in the process
[c-5] Boyd 2012 regarding yield, ProBas data imported and exported</t>
  </si>
  <si>
    <t>Publication date of the paper : 2002</t>
  </si>
  <si>
    <t>Publication date of the paper : 2002
Lower bound for wafer production
[c-1] The value is the value from : Peters, L. Sem iconductor International 1998, 21(2), 71.</t>
  </si>
  <si>
    <t>Publication date of the paper : 2002
Upper bound for wafer production
[c-1] The value is the value from : Peters, L. Sem iconductor International 1998, 21(2), 71.</t>
  </si>
  <si>
    <t>Publication date of the paper : 2002
For chip manufacturing facilities
[c-1] The value is the value from : Genova, J.; Shadman, F. Environmental Progress 1997, 16(4).</t>
  </si>
  <si>
    <t>Semiconductors and Sustainability: Energy and Materials Use in Integrated Circuit Manufacturing</t>
  </si>
  <si>
    <t>Publication date of the paper : 2008
[c-1] comparison with Williams 2003</t>
  </si>
  <si>
    <t>Publication date of the paper : 2008
[c-1] comparison with Williams 2004</t>
  </si>
  <si>
    <t>Publication date of the paper : 2008
[c-1] comparison with Williams 2005</t>
  </si>
  <si>
    <t>[c-0] L, M, RF, A
[c-1] UMC is a pure-play foundry, providing mostly wafers or unpackaged dies.
[c-2] Even numbers provided seems to integrate yield, it is not clearly written in the report.
[c-3] Information not provided inside CSR and 20-F Form
[c-4] Mainly R.O.C, but also China, Singapour and Japan.
[c-5] 500-14nm
[c-6] 300-200mm</t>
  </si>
  <si>
    <t>pros</t>
  </si>
  <si>
    <t>[c-0]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3000 - 5
[c-6] 300-200-100mm</t>
  </si>
  <si>
    <t>[c-0]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3000 - 7
[c-6] 300-200-100mm</t>
  </si>
  <si>
    <t>[c-0]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3000 - 10
[c-6] 300-200-100mm</t>
  </si>
  <si>
    <t>[c-0]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3000 - 16
[c-6] 300-200-100mm</t>
  </si>
  <si>
    <t>[c-0]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3000 - 16
[c-6] 300-200-100mm</t>
  </si>
  <si>
    <t>[c-0]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3000 - 28
[c-6] 300-200-100mm</t>
  </si>
  <si>
    <t>[c-0] L, M, RF, A
[c-1] TSMC is a pure-play foundry, provided numbers includes wafers or unpackaged dies.
[c-2] Even numbers provided seems to integrate yield, it is not clearly written in the report.
[c-3] Information not provided inside CSR and 20F form.
[c-4] Mainly R.O.C, but also USA and China
[c-5] 3000 - 45
[c-6] 300-200-100mm</t>
  </si>
  <si>
    <t>[c-0] L,M,A,RF, MEMS
[c-1] STMicro is an IDM, but provided numbers includes only numbers wafers manufacturing.
[c-2] Even numbers provided seems to integrate yield, it is not clearly written in the report.
[c-3] Information not provided inside CSR and 20-F Form
[c-4] 4 fabs in France, 4 fabs in Italy and 2 fabs in Singapore
[c-5] 300-200-150mm</t>
  </si>
  <si>
    <t>NA
[c-3]</t>
  </si>
  <si>
    <t>Publication date for data: 2015
[c-1] cm2 per wafer out
[c-2] see p.20 in Notes for Table ESH5: Fab = manufacturing space + support systems
[c-3] ITRS gathers industrials, so dependencies might exist but this is not clear</t>
  </si>
  <si>
    <t>Parameter</t>
  </si>
  <si>
    <t>Units</t>
  </si>
  <si>
    <t>Comment</t>
  </si>
  <si>
    <t>PEF (elec) 2010-2020</t>
  </si>
  <si>
    <t>MJ/MJ</t>
  </si>
  <si>
    <t xml:space="preserve">https://ec.europa.eu/energy/sites/ener/files/documents/final_report_pef_eed.pdf 
https://www.ehpa.org/about/news/article/the-importance-of-a-revised-primary-energy-factor-pef-towards-achieving-the-eus-long-term-energy/ </t>
  </si>
  <si>
    <t xml:space="preserve"> </t>
  </si>
  <si>
    <t>PEF (steam)</t>
  </si>
  <si>
    <t>PEF (renewable)</t>
  </si>
  <si>
    <t>PEF (gas)</t>
  </si>
  <si>
    <t>PEF (elec) 1980-2010</t>
  </si>
  <si>
    <t>The same PEF is considered to remove variability from improvements that are not due to the fab</t>
  </si>
  <si>
    <t>Figure 3.6 from Teehan (2014)</t>
  </si>
  <si>
    <t>Electricity carbon intensity 1980-2010</t>
  </si>
  <si>
    <t>kgCO2e/kWh_elec</t>
  </si>
  <si>
    <t>https://ourworldindata.org/grapher/carbon-intensity-electricity?tab=chart&amp;time=earliest..latest&amp;region=World
https://www.iea.org/reports/global-energy-co2-status-report-2019/emissions</t>
  </si>
  <si>
    <t>0.226 (EU27, 2020) ; 0.4 (EU27, 2000) ; 0.475 (World, 2020)
We take 2020 as reference to avoid having the electricity mix that shifts value (this should be considered only if foundries have their own renewable plants)</t>
  </si>
  <si>
    <t>Conversion (physics)</t>
  </si>
  <si>
    <t>Conversion MJ-kWh</t>
  </si>
  <si>
    <t>MJ/kWh</t>
  </si>
  <si>
    <t>/</t>
  </si>
  <si>
    <t>Conversion inch2 to cm2</t>
  </si>
  <si>
    <t>cm2/inch2</t>
  </si>
  <si>
    <t>Coonversion 8" wafer to cm2</t>
  </si>
  <si>
    <t>Source :</t>
  </si>
  <si>
    <t>Obtained directly from Bureau Veritas (explicit authorization to share these data)</t>
  </si>
  <si>
    <t>Taille de lithographie (nm)</t>
  </si>
  <si>
    <t>Nombre de mask</t>
  </si>
  <si>
    <t>GWP (kg CO2eq/cm2)</t>
  </si>
  <si>
    <t>Primary energy (MJ/cm2)</t>
  </si>
  <si>
    <t>Eau (m3/cm2)</t>
  </si>
  <si>
    <t>Water (Liters/cm2)</t>
  </si>
  <si>
    <t>The data used in this study have be obtained directly from Bureau Veritas and are used in the recent Nagaoctet database as well. They provided directly the normalized values which are reported in this paper. The results are given for pre-yield data, i.e., at the wafer level and the modeling is mainly based on TSMC data for the year 2019. As they only disclose scope 1 and 2 for GHG emissions, primary data from 4 others industries was used to have a wider modeling. They assume a Taiwanese energy mix.</t>
  </si>
  <si>
    <t>Obtained directly from Sphera</t>
  </si>
  <si>
    <t>Quantitative data is not disclosed because of confidentiality reasons but raw data used for the figures were provided directly by Sphera.</t>
  </si>
  <si>
    <t>Technology node (nm)</t>
  </si>
  <si>
    <t>Technology type</t>
  </si>
  <si>
    <t>Water (Liter/cm2)</t>
  </si>
  <si>
    <t>Logic</t>
  </si>
  <si>
    <t>Memory</t>
  </si>
  <si>
    <t>The data used in this study have be obtained directly from Sphera, for the additional GaBi Electronics Extension XI database. Sphera provided the normalized values which are reported in this paper. Yet, the exact raw values are not disclosed in the Excel file for confidentiality reasons. Raw wafer supply, front-end processing, and wafer cutting are included. Yields are also taken into account, i.e., line-yield, cut-yield, die-yield and wafer-yield. For the GWP, the EF 3.0 Climate Change was used. For the primary energy, the indicator primary energy demand from renewable and non renewable resources (net calorific value) was used. For the water consumption, it was the total freshwater consumption indicator, including rainwater.</t>
  </si>
  <si>
    <t>https://doi.org/10.1016/j.eiar.2020.106416</t>
  </si>
  <si>
    <t xml:space="preserve">https://v35.ecoquery.ecoinvent.org/Details/UPR/fee4fec6-157c-4e9c-b991-31b43a881e41/8b738ea0-f89e-4627-8679-433616064e82 </t>
  </si>
  <si>
    <t>Documentation</t>
  </si>
  <si>
    <t>Based on SimaPro-Ecoinvent v3</t>
  </si>
  <si>
    <t xml:space="preserve">(valid until 2018) </t>
  </si>
  <si>
    <t>(GLO), Cut-off, Production</t>
  </si>
  <si>
    <t xml:space="preserve">data 2000-2006 ? </t>
  </si>
  <si>
    <t>last edited in our SimaPro : 2016</t>
  </si>
  <si>
    <t>The dataset has been extrapolated from year 2006 to 2018. The uncertainty has been adjusted accordingly</t>
  </si>
  <si>
    <t>for 1 kg of wafer</t>
  </si>
  <si>
    <t>kgCO2eq</t>
  </si>
  <si>
    <t>m3</t>
  </si>
  <si>
    <t>MJ</t>
  </si>
  <si>
    <t>Conversion kg-cm2</t>
  </si>
  <si>
    <t>ATTENTION: error in the DB ecoinvent that has been pointed out in Clément et al. (2020)</t>
  </si>
  <si>
    <t xml:space="preserve">1 kg of wafer equals </t>
  </si>
  <si>
    <t>cm2</t>
  </si>
  <si>
    <t>[1]</t>
  </si>
  <si>
    <t xml:space="preserve">according to Clément et al. (2020), with correction </t>
  </si>
  <si>
    <t>1 kg of wafer equals</t>
  </si>
  <si>
    <t>[2]</t>
  </si>
  <si>
    <t xml:space="preserve">according to Philippe (2020), WITHOUT correction </t>
  </si>
  <si>
    <t>[3]</t>
  </si>
  <si>
    <t>according to ecoinvent doc https://v35.ecoquery.ecoinvent.org/Details/UPR/fee4fec6-157c-4e9c-b991-31b43a881e41/8b738ea0-f89e-4627-8679-433616064e82</t>
  </si>
  <si>
    <t>Note: strong assumptions is that 2% of the mass of the final packaged IC is Si. Then, average die size is obtained by using Si density and average Si thickness</t>
  </si>
  <si>
    <t>Normalized environ impacts &lt;i&gt;/cm2</t>
  </si>
  <si>
    <t>kgCO2eq/cm2</t>
  </si>
  <si>
    <t>Liter/cm2</t>
  </si>
  <si>
    <t>MJ/cm2</t>
  </si>
  <si>
    <t>Ecoinvent data used in this study has been obtained by combining both the information provided by Ecoinvent and the analysis provided in the supplementary material of Clément et al. (2020). Indeed, they showed that an error was present in Ecoinvent for the wafer production modeling, therefore impacting the final value in the database. In the Ecoinvent documentation v3.5, they use a value of 180 cm2 for the production of 1 kg of integrated circuit (logic type), which is close to the corrected value proposed by Clément et al. (2020). The data used in this study has been obtained by scaling the values yielded for 1 kg of integrated circuit (logic) by the associated die size, i.e., 180 cm2. Also, a strong assumption in Ecoinvent is assuming that 2% of the mass of the final packaged IC is Si. The conversion between mass and area is done by considering the Si density (2.33 g/cm3) and the average Si thickness (725 µm). Note that in the documentation from Ecoinvent, it is specified that the dataset has been extrapolated from year 2006 to 2018. Even though they also highlight that the uncertainty has been adjusted accordingly, this data is most likely out-dated which supports the fact that Ecoinvent is not the best suited for LCA of semiconductors [Ercan (2016), Clément et al. (2020)].</t>
  </si>
  <si>
    <t>GHG</t>
  </si>
  <si>
    <t>Energy</t>
  </si>
  <si>
    <t>Water</t>
  </si>
  <si>
    <t>Production</t>
  </si>
  <si>
    <t>TOTAL (scope 1+2)</t>
  </si>
  <si>
    <t>scope 1 kCO2ep/cm²</t>
  </si>
  <si>
    <t>scope 2 kCO2ep/cm²</t>
  </si>
  <si>
    <t>scope 3 kCO2ep/cm²</t>
  </si>
  <si>
    <t>scope 1 tCO2eq</t>
  </si>
  <si>
    <t>scope 2 tCO2eq</t>
  </si>
  <si>
    <t>scope 3 tCO2eq</t>
  </si>
  <si>
    <t>TOTAL</t>
  </si>
  <si>
    <t>Electricity primary MJ/cm²</t>
  </si>
  <si>
    <t>Renewable primary MJ/cm²</t>
  </si>
  <si>
    <t>Steam primary MJ/cm²</t>
  </si>
  <si>
    <t>Natural gas 
MJ/cm²</t>
  </si>
  <si>
    <t>Electricity final
GWh</t>
  </si>
  <si>
    <t>Renewable final
GWh</t>
  </si>
  <si>
    <t>Steam
GWh</t>
  </si>
  <si>
    <t>Natural gas final
GWh</t>
  </si>
  <si>
    <t>intake l/cm²</t>
  </si>
  <si>
    <t>recycled l/cm²</t>
  </si>
  <si>
    <t>intake k(m³)</t>
  </si>
  <si>
    <t>recycled k(m³)</t>
  </si>
  <si>
    <t>k-8" wafer</t>
  </si>
  <si>
    <t>cm²</t>
  </si>
  <si>
    <t>CSR</t>
  </si>
  <si>
    <t>Scopes in CSR
prod in annual report (90% loading)</t>
  </si>
  <si>
    <t>Scopes in CSR
prod in annual report
Water consumption is the sum of intake and recycled waters. Intake water includes tap, rain and condensated water</t>
  </si>
  <si>
    <t>20-F</t>
  </si>
  <si>
    <t>Scope in CSR
prod in annual report</t>
  </si>
  <si>
    <t>Scope in CSR
prod in annual report with 90% loading assumption</t>
  </si>
  <si>
    <t>Capacity wafer per week
[k-wafer]</t>
  </si>
  <si>
    <t>number of week in a year</t>
  </si>
  <si>
    <t>Production load (%)</t>
  </si>
  <si>
    <t>normalize water usage per unit regarding a year of reference</t>
  </si>
  <si>
    <t>ST case is more complicated because they are not expanding as TSMC or UMC, so we can not just say that they are using 90% loading each year.  In this case, we chose to consider they were at 90% in 2017 and then use the normalize water consumption to compute each year production.</t>
  </si>
  <si>
    <t>year of reference in the calculation</t>
  </si>
  <si>
    <t>Absolute data taken in CSR. Production taken by summing trimestrial wafer shipments in financial presentation.</t>
  </si>
  <si>
    <t>Financial Report</t>
  </si>
  <si>
    <t>Normalized elec (kWh/MI)</t>
  </si>
  <si>
    <t>k-MI</t>
  </si>
  <si>
    <t>cm²/(k-MI)</t>
  </si>
  <si>
    <t>Absolute data taken in CSR.  Production taken in F-1 Form 2021</t>
  </si>
  <si>
    <t>1-F</t>
  </si>
  <si>
    <t>Absolute data taken in CSR. Production deduced from absolute data and relative to Manufacturing unit data.  Relation between cm² and MI is deduced to be 40 cm²/MI, thanks to 2020,2019,2018 data. Strong assumption here</t>
  </si>
  <si>
    <t>Manufacturable solutions exist, and are being optimized</t>
  </si>
  <si>
    <t>ITRS reports (ESH) - 2001, 2003, 2007, 2015, 2017</t>
  </si>
  <si>
    <t>We assume that total fab energy usage accounts for the infrastructure consumption. For the water consumption, we added that net feed water use and the fab UPW use, although these are two types of water with different properties.</t>
  </si>
  <si>
    <t>Manufacturable solutions are known</t>
  </si>
  <si>
    <t>Manufacturable solutions are NOT known</t>
  </si>
  <si>
    <t>Values in red = extrapolated to have a continuous baseline in 2001</t>
  </si>
  <si>
    <t>This data (MJ/cm2) is converted from the original data in (kWh/cm2) provided here under</t>
  </si>
  <si>
    <t>This data (Liters/cm2) is the sum of total fab water and UPW water, see the original data in (Liters/cm2) provided here under</t>
  </si>
  <si>
    <t>Original data</t>
  </si>
  <si>
    <t>Focus</t>
  </si>
  <si>
    <t>Overall fab equipment (MJ/cm2)</t>
  </si>
  <si>
    <t>Fab facility (MJ/cm2)</t>
  </si>
  <si>
    <t>Total energy consumption (MJ/cm2)</t>
  </si>
  <si>
    <t>Total fab water consumption (Liters/cm2)</t>
  </si>
  <si>
    <t>Recycle/Reuse rate (%)</t>
  </si>
  <si>
    <t>GHG emissions (kgCO2eq/cm2)</t>
  </si>
  <si>
    <t>Total fab tools</t>
  </si>
  <si>
    <t>Total fab support systems energy usage</t>
  </si>
  <si>
    <t xml:space="preserve">Total fab energy usage </t>
  </si>
  <si>
    <t>Non EUV</t>
  </si>
  <si>
    <t>EUV</t>
  </si>
  <si>
    <t>(200mm fabs)</t>
  </si>
  <si>
    <t>(300mm fabs)</t>
  </si>
  <si>
    <t>NER, F-GHG only (WSC)</t>
  </si>
  <si>
    <t>ITRS report</t>
  </si>
  <si>
    <t>ESH 2001</t>
  </si>
  <si>
    <t>ESH 2003</t>
  </si>
  <si>
    <t>ESH 2007</t>
  </si>
  <si>
    <t>ESH 2015</t>
  </si>
  <si>
    <t>ESH 2017</t>
  </si>
  <si>
    <t>reduction 10% absolute for PFC emission, compared to 1995 by 2010 as agreed to by the WSC</t>
  </si>
  <si>
    <t>maintain 10% absolute reduction from 1995 baseline</t>
  </si>
  <si>
    <t>Original data (kWh/cm2)</t>
  </si>
  <si>
    <t>Original data (Liters/cm2)</t>
  </si>
  <si>
    <t>Overall fab equipment (kWh/cm2)</t>
  </si>
  <si>
    <t>Fab facility (kWh/cm2)</t>
  </si>
  <si>
    <t>Total energy consumption (kWh/cm2)</t>
  </si>
  <si>
    <t>Net feed water use (Liters/cm2)</t>
  </si>
  <si>
    <t>Fab UPW use (Liters/cm2)</t>
  </si>
  <si>
    <t>Tool UPW use (Liters/cm2, per wafer pass)</t>
  </si>
  <si>
    <t>ITRS report (ORIGINAL data)</t>
  </si>
  <si>
    <t>Total fab water consumption (200mm fabs)</t>
  </si>
  <si>
    <t>Total fab water consumption (300mm fabs)</t>
  </si>
  <si>
    <t>Total UPW consumption</t>
  </si>
  <si>
    <t>Tool UPW usage (% of 2005 baseline)</t>
  </si>
  <si>
    <t>https://www.eenewseurope.com/news/top-five-chip-makers-dominate-global-wafer-capacity#:~:text=Intel%20(884K%20wafers%2Fmonth),of%20the%20world%27s%20total%20capacity.</t>
  </si>
  <si>
    <t xml:space="preserve">https://www.semi.org/en/products-services/market-data/materials/si-shipment-statistics </t>
  </si>
  <si>
    <t>(SEMI) The database includes front-end fabs and foundries such as TSMC, UMC, GLOBALFOUNDRIES, SMIC, Samsung, Intel, Toshiba, Micron, SK Hynix, Powerchip, Texas Instruments, Renesas, STMicro, Fujitsu, Sharp, NXP, Infineon, and many more. Shipments are for semiconductor applications only and do not include solar applications.</t>
  </si>
  <si>
    <t>Note:</t>
  </si>
  <si>
    <t>Data total production in billion of cm2 1993-1998 available in Eric Williams (2002) Supporting information, Table D.1.</t>
  </si>
  <si>
    <t>Million of inch2</t>
  </si>
  <si>
    <t>Q1</t>
  </si>
  <si>
    <t>Q2</t>
  </si>
  <si>
    <t>Q3</t>
  </si>
  <si>
    <t>Q4</t>
  </si>
  <si>
    <t>Million of cm2</t>
  </si>
  <si>
    <t>Total (for 1 year)</t>
  </si>
  <si>
    <t>https://namu.wiki/w/Apple%20Silicon/A%20%EC%8B%9C%EB%A6%AC%EC%A6%88?from=Apple%20A6#Apple%20A6</t>
  </si>
  <si>
    <t>https://en.wikipedia.org/wiki/Apple_silicon#Apple_A4</t>
  </si>
  <si>
    <t>Name</t>
  </si>
  <si>
    <t>freq (MHz)</t>
  </si>
  <si>
    <t>Node (nm)</t>
  </si>
  <si>
    <t>Total Die(mm²)</t>
  </si>
  <si>
    <t>transistors (B)</t>
  </si>
  <si>
    <t>Trans. density (M/mm²)</t>
  </si>
  <si>
    <t>Manufacturer</t>
  </si>
  <si>
    <t>A4</t>
  </si>
  <si>
    <t>800-1000</t>
  </si>
  <si>
    <t>Planar</t>
  </si>
  <si>
    <t>Samsung</t>
  </si>
  <si>
    <t>A5</t>
  </si>
  <si>
    <t>A5X</t>
  </si>
  <si>
    <t>A6</t>
  </si>
  <si>
    <t>A6X</t>
  </si>
  <si>
    <t>A7</t>
  </si>
  <si>
    <t>A8</t>
  </si>
  <si>
    <t>SoC</t>
  </si>
  <si>
    <t>A8X</t>
  </si>
  <si>
    <t>A9</t>
  </si>
  <si>
    <t>FinFET</t>
  </si>
  <si>
    <t>A9X</t>
  </si>
  <si>
    <t>Lau2019</t>
  </si>
  <si>
    <t>A10 Fusion</t>
  </si>
  <si>
    <t>A10X Fusion</t>
  </si>
  <si>
    <t>A11 Bionic</t>
  </si>
  <si>
    <t>A12 Bionic</t>
  </si>
  <si>
    <t>FinFET (ArFi)</t>
  </si>
  <si>
    <t>A12X Bionic</t>
  </si>
  <si>
    <t>A12Z Bionic</t>
  </si>
  <si>
    <t>A13 Bionic</t>
  </si>
  <si>
    <t>A14 Bionic</t>
  </si>
  <si>
    <t>FinFET (EUV)</t>
  </si>
  <si>
    <t>A15</t>
  </si>
  <si>
    <t>FinFET P (EUV)</t>
  </si>
  <si>
    <t>The literature review was based on:</t>
  </si>
  <si>
    <t>Authors previous knownledge and expertise</t>
  </si>
  <si>
    <t>Systematic search using the following keywords : semiconductor life cycle footprint assessment environmental impacts production integrated circuits logic memory electronics CMOS manufacturing</t>
  </si>
  <si>
    <t>Identification of new intereting papers using the references of known papers</t>
  </si>
  <si>
    <t>Included in this study</t>
  </si>
  <si>
    <t>Title</t>
  </si>
  <si>
    <t>Publication date</t>
  </si>
  <si>
    <t>Yes</t>
  </si>
  <si>
    <t>Donald Kline; Nikolas Parshook; Alex Johnson; James E. Stine; William Stanchina; Erik Brunvand; Alex K. Jones</t>
  </si>
  <si>
    <t>Integrative approaches to environmental life cycle assessment of consumer electronics and connected media</t>
  </si>
  <si>
    <t>Paul Teehan</t>
  </si>
  <si>
    <t>http://hdl.handle.net/2429/47025</t>
  </si>
  <si>
    <t>M. Garcia Bardon; P. Wuytens; L.-Å. Ragnarsson; G. Mirabelli; D. Jang; G. Willems; A. Mallik; A. Spessot; J. Ryckaert; B. Parvais</t>
  </si>
  <si>
    <t>https://doi.org/10.1109/IEDM13553.2020.9372004</t>
  </si>
  <si>
    <t>Anders S. G. Andrae and Mikko Samuli Vaija</t>
  </si>
  <si>
    <t>https://doi.org/10.3390/challe8020021</t>
  </si>
  <si>
    <t xml:space="preserve">Mario Schmidt, Heidi Hottenroth, Martin Schottler, Gabriele Fetzer &amp; Birgit Schlüter </t>
  </si>
  <si>
    <t xml:space="preserve">https://doi.org/10.1007/s11367-011-0351-1 </t>
  </si>
  <si>
    <t>Life-cycle assessment of semiconductors</t>
  </si>
  <si>
    <t>Boyd, S. B.</t>
  </si>
  <si>
    <t>https://doi.org/10.1007/978-1-4419-9988-7</t>
  </si>
  <si>
    <t>Yanzhi Wang, Ying Zhang, Mansour Rahimi, and Massoud Pedram</t>
  </si>
  <si>
    <t>NOT published</t>
  </si>
  <si>
    <t>David Bol; Julien De Vos; Cédric Hocquet; François Botman; François Durvaux; Sarah Boyd</t>
  </si>
  <si>
    <t>https://doi.org/10.1109/ISSCC.2012.6177104</t>
  </si>
  <si>
    <t xml:space="preserve">Data for GWP is taken in the 2013 paper, but energy is taken from this paper as it was not available anymore in the 2013 paper. </t>
  </si>
  <si>
    <t>The global energy footprint of information and communication technology electronics in connected Internet-of-Things devices</t>
  </si>
  <si>
    <t>Sujit Das, Elizabeth Mao</t>
  </si>
  <si>
    <t>Use of GaBi --&gt; cfr p.6 left column + other highlighted text : mainly comparison between GaBi and some literature (Boyd, Bol, ...)</t>
  </si>
  <si>
    <t>Anders S.G. Andrae</t>
  </si>
  <si>
    <t>see Table 2</t>
  </si>
  <si>
    <t>Marina Proske, Christian Clemm, Nikolai Richter</t>
  </si>
  <si>
    <t xml:space="preserve">https://www.fairphone.com/wp-content/uploads/2016/11/Fairphone_2_LCA_Final_20161122.pdf </t>
  </si>
  <si>
    <t>Marina Proske, David Sánchez, Christian Clemm, Sarah-Jane Baur</t>
  </si>
  <si>
    <t>Mine Ercan, Jens Malmodin, Pernilla Bergmark, Emma Kimfalk, Ellinor Nilsson</t>
  </si>
  <si>
    <t>https://dx.doi.org/10.2991/ict4s-16.2016.15</t>
  </si>
  <si>
    <t>Green SoCs for a sustainable Internet-of-Things</t>
  </si>
  <si>
    <t>David Bol; Julien De Vos; François Botman; Guerric de Streel et al.</t>
  </si>
  <si>
    <t>Alex K. Jones; Yiran Chen; William O. Collinge et al.</t>
  </si>
  <si>
    <t>https://doi.org/10.1109/ICCAD.2013.6691120</t>
  </si>
  <si>
    <t>Schaffung einer Datenbasis zur Ermittlung ökologischer Wirkungen der Produkte der Informations- und Kommunikationstechnik (IKT)</t>
  </si>
  <si>
    <t>Siddharth Prakash, Ran Liu, Karsten Schischke, Dr. Lutz Stobbe</t>
  </si>
  <si>
    <t>Application-aware LCA of semiconductors: Life-cycle energy of microprocessors from high-performance 32nm CPU to ultra-low-power 130nm MCU</t>
  </si>
  <si>
    <t>David Bol; Sarah Boyd; David Dornfeld</t>
  </si>
  <si>
    <t>No</t>
  </si>
  <si>
    <t>Life-Cycle Assessment of Dynamic Random Access Memory</t>
  </si>
  <si>
    <t>S.B. Boyd</t>
  </si>
  <si>
    <t>https://doi.org/10.1007/978-1-4419-9988-7_7</t>
  </si>
  <si>
    <t>We rather consider Boyd 2012 which gathers her whole work</t>
  </si>
  <si>
    <t>Life cycle assessment of integrated circuit packaging technologies</t>
  </si>
  <si>
    <t xml:space="preserve">Anders S. G. Andrae , Otto Andersen </t>
  </si>
  <si>
    <t>https://doi.org/10.1007/s11367-011-0260-3</t>
  </si>
  <si>
    <t>Focus on packaging and back-end only (they mention 0.34 kWh/cm2), so difficult to consider in this study</t>
  </si>
  <si>
    <t>Resource Efficiency in the ICT Sector, Final Report, November 2016</t>
  </si>
  <si>
    <t>Andreas Manhart; Markus Blepp; Corinna Fischer; Kathrin Graulich; Siddharth Prakash; Rasmus Priess; Tobias Schleicher; Maria Tür</t>
  </si>
  <si>
    <t>https://www.greenpeace.de/sites/default/files/publications/20161109_oeko_resource_efficency_final_full-report.pdf</t>
  </si>
  <si>
    <t>Not pertinent</t>
  </si>
  <si>
    <t>Drawing a chip environmental profile: environmental indicators for the semiconductor industry</t>
  </si>
  <si>
    <t>Aurélie Villard, Alan Lelah, Daniel Brissaud</t>
  </si>
  <si>
    <t>https://doi.org/10.1016/j.jclepro.2014.08.061</t>
  </si>
  <si>
    <t>No quantitative value for the metrics under study</t>
  </si>
  <si>
    <t>An eco-design tool for manufacturers of semi-conductor technologies: looking for environmental opportunities in the design phase</t>
  </si>
  <si>
    <t>Aurélie Villard, Alan Lelah, Daniel Brissaud, Marc Mantelli</t>
  </si>
  <si>
    <t>https://doi.org/10.1109/ISSST.2012.6228013</t>
  </si>
  <si>
    <t>Green nanofabrication opportunities in the semiconductor industry: A life cycle perspective</t>
  </si>
  <si>
    <t>Eleanor Mullen and Michael A. Morris</t>
  </si>
  <si>
    <t>https://doi.org/10.3390/nano11051085</t>
  </si>
  <si>
    <t>Life cycle impact assessment of semiconductor packaging technologies with emphasis on ball grid array</t>
  </si>
  <si>
    <t>Chien-HungKuoaAllen H.HuaLance HongweiHungaKuei-TzuYangbChen-HuaWuc</t>
  </si>
  <si>
    <t>https://doi.org/10.1016/j.jclepro.2020.124301</t>
  </si>
  <si>
    <t>Developing a parametric carbon footprinting tool for the semiconductor industry</t>
  </si>
  <si>
    <t xml:space="preserve">C.-Y. Huang, A. H. Hu, J. Yin &amp; H.-C. Wang </t>
  </si>
  <si>
    <t xml:space="preserve">https://doi.org/10.1007/s13762-015-0869-z </t>
  </si>
  <si>
    <t>No quantitative value for the metrics under study: the data were not disclosed because of confidentiality issues.</t>
  </si>
  <si>
    <t>Sources of variation in life cycle assessments of smartphones and tablet computers</t>
  </si>
  <si>
    <t>Louis-Philippe P.-V.P. Clément, Quentin E.S. Jacquemotte, Lorenz M. Hilty</t>
  </si>
  <si>
    <t>No new data, fully based on other studies already taken into account in this study. More details in the sheet "Clement data".</t>
  </si>
  <si>
    <t>Life cycle assessment of DRAM in Taiwan's semiconductor industry</t>
  </si>
  <si>
    <t>C.H.Liu, Sue J.Lin, C.Lewis</t>
  </si>
  <si>
    <t>https://doi.org/10.1016/j.jclepro.2009.10.004</t>
  </si>
  <si>
    <t>Environmental Life Cycle Assessment of a Carbon Nanotube-Enabled Semiconductor Device</t>
  </si>
  <si>
    <t>Lindsay J. Dahlben, Matthew J. Eckelman, Ali Hakimian, Sivasubramanian Somu, and Jacqueline A. Isaacs</t>
  </si>
  <si>
    <t>https://doi.org/10.1021/es305325y</t>
  </si>
  <si>
    <t>Performance Assessment of the Semiconductor Industry: Measured by DEA Environmental Assessment</t>
  </si>
  <si>
    <t>Toshiyuki Sueyoshi andYoungbok Ryu</t>
  </si>
  <si>
    <t>https://doi.org/10.3390/en13225998</t>
  </si>
  <si>
    <t>Performing a water footprint assessment for a semiconductor industry</t>
  </si>
  <si>
    <t>Tom Cooper; Joyann Pafumi</t>
  </si>
  <si>
    <t>https://doi.org/10.1109/ISSST.2010.5507719</t>
  </si>
  <si>
    <t>Life-cycle assessment of computational logic produced from 1995 through 2010</t>
  </si>
  <si>
    <t>S B Boyd, A Horvath and D A Dornfeld</t>
  </si>
  <si>
    <t>https://doi.org/10.1088/1748-9326/5/1/014011</t>
  </si>
  <si>
    <t>Comparing embodied greenhouse gas emissions of modern computing and electronics products</t>
  </si>
  <si>
    <t>P. Teehan and M. Kandlikar</t>
  </si>
  <si>
    <t>https://doi.org/10.1021/es303012r</t>
  </si>
  <si>
    <t>Reducing the carbon footprint of ICT products through material efficiency strategies - case on smartphones</t>
  </si>
  <si>
    <t>Mauro Cordella,Felice Alfieri,Javier Sanfelix</t>
  </si>
  <si>
    <t>https://doi.org/10.1111/jiec.13119</t>
  </si>
  <si>
    <t xml:space="preserve">Caractérisation des process de fabrication microélectroniques pour l'éco-conception des futures technologies	</t>
  </si>
  <si>
    <t>Ingwild Baudry</t>
  </si>
  <si>
    <t>https://tel.archives-ouvertes.fr/tel-00957329</t>
  </si>
  <si>
    <t>See p.63 --&gt; 100% based on Williams data which is already covered in this study.</t>
  </si>
  <si>
    <t xml:space="preserve">Streamlined life cycle assessment: A case study on tablets and integrated circuits	</t>
  </si>
  <si>
    <t>Maria L. Alcaraz, Arash Noshadravan, Melissa Zgol, Randolph E.Kirchain , Elsa A.Olivetti</t>
  </si>
  <si>
    <t xml:space="preserve">https://doi.org/10.1016/j.jclepro.2018.07.273 </t>
  </si>
  <si>
    <t>Chasing Carbon: The Elusive Environmental Footprint of Computing</t>
  </si>
  <si>
    <t xml:space="preserve">GUPTA, Udit, KIM, Young Geun, LEE, Sylvia, et al. </t>
  </si>
  <si>
    <t>https://doi.org/10.1109/HPCA51647.2021.00076</t>
  </si>
  <si>
    <t>No quantitative value for the metrics under study. Note: Fig. 14 could be interesting to compare with our analysis</t>
  </si>
  <si>
    <t>The Conundrums of Sustainability: Carbon Emissions and Electricity Consumption in the Electronics and Petrochemical Industries in Taiwan</t>
  </si>
  <si>
    <t>Kuei-tien Chou ,David Walther and Hwa-meei Liou</t>
  </si>
  <si>
    <t xml:space="preserve">https://doi.org/10.3390/su11205664 </t>
  </si>
  <si>
    <t>Life cycle assessments of consumer electronics: are they consistent?</t>
  </si>
  <si>
    <t xml:space="preserve">Anders S. G. Andrae &amp; Otto Andersen </t>
  </si>
  <si>
    <t>https://doi.org/10.1007/s11367-010-0206-1</t>
  </si>
  <si>
    <t>No sufficient information --&gt; not included in this study. More details in the sheet "Andrae data".</t>
  </si>
  <si>
    <t xml:space="preserve">QUANTIFYING ENVIRONMENTAL LIFE CYCLE IMPACTS FOR ICT PRODUCTS – A SIMPLER APPROACH </t>
  </si>
  <si>
    <t>Thomas A. Okrasinski; Marc S. Benowitz</t>
  </si>
  <si>
    <t xml:space="preserve">https://doi.org/10.23919/PanPacific48324.2020.9059483 </t>
  </si>
  <si>
    <t>Measuring the environmental impact of IT/IS solutions e A life cycle impact modelling approach</t>
  </si>
  <si>
    <t>Florian Stiel, Frank Teuteberg</t>
  </si>
  <si>
    <t xml:space="preserve">https://doi.org/10.1016/j.envsoft.2013.12.014 </t>
  </si>
  <si>
    <t>Evaluating the sustainability of electronic media: Strategies for life cycle inventory data collection and their implications for LCA results</t>
  </si>
  <si>
    <t>Roland Hischier, Mohammad Ahmadi Achachlouei, Lorenz M. Hilty</t>
  </si>
  <si>
    <t xml:space="preserve">https://doi.org/10.1016/j.envsoft.2014.01.001 </t>
  </si>
  <si>
    <t>No quantitative value for the metrics under study, mainly based on ecoinvent database</t>
  </si>
  <si>
    <t>Challenges and complexities in application of LCA approaches in the case of ICT for a sustainable future</t>
  </si>
  <si>
    <t>Reza Farrahi Moghaddam, Fereydoun Farrahi Moghaddam, Thomas Dandres, Yves Lemieux, Réjean Samson, Mohamed Cheriet</t>
  </si>
  <si>
    <t xml:space="preserve">https://arxiv.org/abs/1403.2798  </t>
  </si>
  <si>
    <t>Lessons learned – Review of LCAs for ICT products and services</t>
  </si>
  <si>
    <t>Yevgeniya Arushanyan, Elisabeth Ekener-Petersen , Göran Finnveden</t>
  </si>
  <si>
    <t>https://doi.org/10.1016/j.compind.2013.10.003</t>
  </si>
  <si>
    <t>Environmental Impacts of ICT: Present and Future</t>
  </si>
  <si>
    <t>Arushanyan, Yevgeniya</t>
  </si>
  <si>
    <t>https://www.diva-portal.org/smash/record.jsf?pid=diva2%3A933594&amp;dswid=-2635</t>
  </si>
  <si>
    <t>Grey Energy and Environmental Impacts of ICT Hardware</t>
  </si>
  <si>
    <t>Roland Hischier, Vlad C. Coroama, Daniel Schien, Mohammad Ahmadi Achachlouei</t>
  </si>
  <si>
    <t>https://doi.org/10.1007/978-3-319-09228-7_10</t>
  </si>
  <si>
    <t>Life Cycle Assessment of a Magazine, Part I: Tablet Edition in Emerging and Mature States</t>
  </si>
  <si>
    <t>Mohammad Ahmadi Achachlouei, Åsa Moberg,Elisabeth Hochschorner</t>
  </si>
  <si>
    <t>https://doi.org/10.1111/jiec.12227</t>
  </si>
  <si>
    <t>Consumption-Weighted Life Cycle Assessment of a Consumer Electronic Product Community</t>
  </si>
  <si>
    <t>Erinn G. Ryen, Callie W. Babbitt, and Eric Williams</t>
  </si>
  <si>
    <t xml:space="preserve">https://doi.org/10.1021/es505121p </t>
  </si>
  <si>
    <t>The link between product service lifetime and GHG emissions: A comparative study for different consumer products</t>
  </si>
  <si>
    <t>Simon Glöser-Chahoud,Matthias Pfaff,Frank Schultmann</t>
  </si>
  <si>
    <t>https://doi.org/10.1111/jiec.13123</t>
  </si>
  <si>
    <t>A Fuzzy Multicriteria Approach for Evaluating the Sustainability Performance of Semiconductor Companies</t>
  </si>
  <si>
    <t>Santoso Wibowo; Hepu Deng</t>
  </si>
  <si>
    <t>https://doi.org/10.1109/ICIEA.2013.6566380</t>
  </si>
  <si>
    <t>Methodology study eco-design of energy-using products – MEEuP methodology report</t>
  </si>
  <si>
    <t>R. Kemna, M. van Elburg, W. Li, and R. van Holsteijn</t>
  </si>
  <si>
    <t>https://op.europa.eu/s/vUnz</t>
  </si>
  <si>
    <t>Environmental effects of information and communications technologies</t>
  </si>
  <si>
    <t>Eric Williams</t>
  </si>
  <si>
    <t>https://doi.org/10.1038/nature10682</t>
  </si>
  <si>
    <t>Life-Cycle Assessment of NAND Flash Memory</t>
  </si>
  <si>
    <t xml:space="preserve">https://doi.org/10.1109/TSM.2010.2087395 </t>
  </si>
  <si>
    <t>Life-cycle assessment of electric power systems</t>
  </si>
  <si>
    <t>Eric Masanet,1 Yuan Chang,1 Anand R. Gopal,2 Peter Larsen,2,3 William R. Morrow III,2 Roger Sathre,2 Arman Shehabi,2 and Pei Zhai2</t>
  </si>
  <si>
    <t>https://doi.org/10.1146/annurev-environ-010710-100408</t>
  </si>
  <si>
    <t>Internet of Things and BOM-Based Life Cycle Assessment of Energy-Saving and Emission-Reduction of Products</t>
  </si>
  <si>
    <t>Fei Tao, Member, IEEE, Ying Zuo, Li Da Xu, Senior Member, IEEE, Lin Lv, and Lin Zhang, Senior Member, IEEE</t>
  </si>
  <si>
    <t>https://doi.org/10.1109/TII.2014.2306771</t>
  </si>
  <si>
    <t>Sources of Variation in Life Cycle Assessments of Desktop Computers</t>
  </si>
  <si>
    <t>Paul Teehan,Milind Kandlikar</t>
  </si>
  <si>
    <t>https://doi.org/10.1111/j.1530-9290.2011.00431.x</t>
  </si>
  <si>
    <t>We rather consider Teehan 2014 which gathers his whole work</t>
  </si>
  <si>
    <t>Holistically evaluating the environmental impacts in modern computing systems</t>
  </si>
  <si>
    <t>Donald Kline; Nikolas Parshook; Xiaoyu Ge; Erik Brunvand; Rami Melhem; Panos K. Chrysanthis; Alex K. Jones</t>
  </si>
  <si>
    <t>https://doi.org/10.1109/IGCC.2016.7892605</t>
  </si>
  <si>
    <t>Data seems to be exactly the same in the 2017 paper, but the Figure is more precise so we take that one.</t>
  </si>
  <si>
    <t>Computing the carbon footprint supply chain for the semiconductor industry: a learning tool</t>
  </si>
  <si>
    <t>Dessouky Y, Patel MH, Kaosamphan T</t>
  </si>
  <si>
    <t>https://docplayer.net/8741483-Computing-the-carbon-footprint-supply-chain-for-the-semiconductor-industry-a-learning-tool.html</t>
  </si>
  <si>
    <t>No quantitative value for the metrics under study (no details about wafer size and the document is more for a pedagological purpose)</t>
  </si>
  <si>
    <t>Developing a Parameterized Embodied Emissions Calculator for telecommunication networks equipment (PEEC)</t>
  </si>
  <si>
    <t>Maël Madon</t>
  </si>
  <si>
    <t>https://www.diva-portal.org/smash/get/diva2:1540115/FULLTEXT01.pdf</t>
  </si>
  <si>
    <t>Not peer-reviewed and it is a master thesis. so we decided not to include it in this study. Yet, quantitative value p.15 (1.72 kgCO2eq/cm2).</t>
  </si>
  <si>
    <t>Review of LCA methods for ICT products and the impact of high purity and high cost materials</t>
  </si>
  <si>
    <t>Tim Higgs; Michael Cullen; Marissa Yao; Scott Stewart</t>
  </si>
  <si>
    <t>https://doi.org/10.1109/ISSST.2010.5507691</t>
  </si>
  <si>
    <t>TOTAL included</t>
  </si>
  <si>
    <t>Cynthia F. Murphy, George A. Kenig, David T. Allen, Jean-Philippe Laurent, and David E. Dyer</t>
  </si>
  <si>
    <t>Table 2 + Fig 13</t>
  </si>
  <si>
    <t>Nikhil Krishnan, Sarah Boyd, Ajay Somani, Sebastien Raoul, Daniel Clark, and David Dornfeld</t>
  </si>
  <si>
    <t>https://doi.org/10.1021/es071174k</t>
  </si>
  <si>
    <t>see Fig 6</t>
  </si>
  <si>
    <t>Semiconductors and sustainability : energy and materials use in integrated circuit manufacturing</t>
  </si>
  <si>
    <t>Branham, Matthew S</t>
  </si>
  <si>
    <t>see p.18 + ctfl-F on cm2</t>
  </si>
  <si>
    <t>Measures and Trends in Energy Use of Semiconductor Manufacturing</t>
  </si>
  <si>
    <t>Liqiu Deng; Eric Williams</t>
  </si>
  <si>
    <t>see Fig 4</t>
  </si>
  <si>
    <t>Environmental Implications of Product Servicising. The Case of Outsourced Computing Utilities.</t>
  </si>
  <si>
    <t>Plepys, Andrius</t>
  </si>
  <si>
    <t>Liqiu Deng, Callie W.Babbitt, Eric D.Williams</t>
  </si>
  <si>
    <t>The 1.7 Kilogram Microchip:  Energy and Material Use in the Production of Semiconductor Devices</t>
  </si>
  <si>
    <t>Eric D. Williams, Robert U. Ayres, and Miriam Heller</t>
  </si>
  <si>
    <t>S.-C.Hu, Y.K.Chuah</t>
  </si>
  <si>
    <t>Comparative Assessment of Life Cycle Assessment Methods Used for Personal Computers</t>
  </si>
  <si>
    <t>Marissa A. Yao, Tim G. Higgs, Michael J. Cullen, Scott Stewart, and Todd A. Brady</t>
  </si>
  <si>
    <t>Values in kWh/cm2 in Fig 1. Values for 2001-2008 --&gt; historical data</t>
  </si>
  <si>
    <t>Computers and the environment: understanding and managing their impact</t>
  </si>
  <si>
    <t>R. Kuehr, E. Williams</t>
  </si>
  <si>
    <t>https://link.springer.com/book/10.1007/978-94-010-0033-8</t>
  </si>
  <si>
    <t>Not possible to have access to the document</t>
  </si>
  <si>
    <t>LCA of electronic products</t>
  </si>
  <si>
    <t>Anders S. G. Andrae, Gang Zou &amp; Johan Liu</t>
  </si>
  <si>
    <t>https://doi.org/10.1007/BF02978535</t>
  </si>
  <si>
    <t>Environmental sustainability in the semiconductor industry</t>
  </si>
  <si>
    <t>John Harland; Ted Reichelt; Marissa Yao</t>
  </si>
  <si>
    <t>https://doi.org/10.1109/ISEE.2008.4562886</t>
  </si>
  <si>
    <t>Energy Intensity of Computer Manufacturing: Hybrid Assessment Combining Process and Economic Input-Output Methods</t>
  </si>
  <si>
    <t>https://doi.org/10.1021/es035152j</t>
  </si>
  <si>
    <t>see Table 1 --&gt; really similar to Deng 2011, we rather include these data</t>
  </si>
  <si>
    <t>Measuring and modeling gas consumption and emissions from semiconductor manufacturing processes, EHS Assessment Techniques</t>
  </si>
  <si>
    <t>R. Smati, S. Raoux, D. Ho, and M. Woolston</t>
  </si>
  <si>
    <t>-</t>
  </si>
  <si>
    <t>Impossible to find the document</t>
  </si>
  <si>
    <t>Recent developments in Life Cycle Assessment</t>
  </si>
  <si>
    <t>GöranFinnvedenaMichael Z.HauschildbTomasEkvallcJeroenGuinéedReinoutHeijungsdStefanieHellwegeAnnetteKoehlereDavidPenningtonfSangwonSuh</t>
  </si>
  <si>
    <t>https://doi.org/10.1016/j.jenvman.2009.06.018</t>
  </si>
  <si>
    <t>Using a hybrid approach to evaluate semiconductor life cycle environmental issues - a case study in interconnect module impacts</t>
  </si>
  <si>
    <t>N. Krishnan; S. Boyd; J. Rosales; D. Dornfeld; S. Raoux; R. Smati</t>
  </si>
  <si>
    <t>https://doi.org/10.1109/ISEE.2004.1299693</t>
  </si>
  <si>
    <t>Presents a methodology to perform hybrid LCA, but too few steps are considered. Few infos in section IV but not sufficient</t>
  </si>
  <si>
    <t>Case studies in energy use to realize ultra-high purities in semiconductor manufacturing</t>
  </si>
  <si>
    <t>Nikhil Krishnan; Eric D. Williams; Sarah B. Boyd</t>
  </si>
  <si>
    <t>Environmental impacts in the production of computers</t>
  </si>
  <si>
    <t>https://doi.org/10.1007/978-94-010-0033-8_3</t>
  </si>
  <si>
    <t>Only access to the 2 first pages, no data could be retrieved</t>
  </si>
  <si>
    <t>Revisiting energy used to manufacture a desktop computer: hybrid analysis combining process and economic input-output methods</t>
  </si>
  <si>
    <t>https://doi.org/10.1109/ISEE.2004.1299692</t>
  </si>
  <si>
    <t>data already captured in Deng and Williams papers</t>
  </si>
  <si>
    <t>Deconstructing Energy Use in Microelectronics Manufacturing: An Experimental Case Study of a MEMS Fabrication Facility</t>
  </si>
  <si>
    <t>Matthew S. Branham, Timothy G. Gutowski</t>
  </si>
  <si>
    <t>https://doi.org/10.1021/es902388b</t>
  </si>
  <si>
    <t>Data for 2006-2007. Data already disclosed in its previous 2008 publication (already included in this study)</t>
  </si>
  <si>
    <t>A tool to estimate materials and manufacturing energy for a product</t>
  </si>
  <si>
    <t>N. Duque Ciceri; T. G. Gutowski; M. Garetti</t>
  </si>
  <si>
    <t>https://doi.org/10.1109/ISSST.2010.5507677</t>
  </si>
  <si>
    <t>Data before 2010 explicitely.  More details in the sheet "Ciceri data", but not considered in this study</t>
  </si>
  <si>
    <t>Environmental impacts of microchip manufacture</t>
  </si>
  <si>
    <t>Eric D Williams</t>
  </si>
  <si>
    <t>https://doi.org/10.1016/j.tsf.2004.02.049</t>
  </si>
  <si>
    <t>Data already covered its previous publication (2002) for energy and water.
See the sheet "Williams data" for more information.</t>
  </si>
  <si>
    <t>Life Cycle Inventory of a CMOS Chip</t>
  </si>
  <si>
    <t xml:space="preserve">https://doi.org/10.1109/ISEE.2006.1650071  </t>
  </si>
  <si>
    <t>Life-Cycle Energy Demand and GWP of Computational Logic</t>
  </si>
  <si>
    <t xml:space="preserve">https://pubs.acs.org/doi/10.1021/es901514n </t>
  </si>
  <si>
    <t>Is Small Green?</t>
  </si>
  <si>
    <t>Karsten Schischke, Hansjoerg Griese</t>
  </si>
  <si>
    <t>http://www.lcacenter.org/InLCA2004/papers/Schischke_K_paper.pdf</t>
  </si>
  <si>
    <t xml:space="preserve">Life cycle inventory analysis and identification of environmentally significant aspects in semiconductor manufacturing </t>
  </si>
  <si>
    <t xml:space="preserve">Schischke, K., Stutz, M., Ruelle, J.P., Griese, H., Reichi, H., </t>
  </si>
  <si>
    <t>https://doi.org/10.1109/ISEE.2001.924517</t>
  </si>
  <si>
    <t>Implementing life cycle assessment in product development</t>
  </si>
  <si>
    <t>G.S. Bhander, M. Hauschild, T. McAloone,</t>
  </si>
  <si>
    <t>https://doi.org/10.1002/ep.670220414</t>
  </si>
  <si>
    <t>Sustainable development of microelectronic technology processes integration of ecodesign</t>
  </si>
  <si>
    <t>H. Griese, K. Schischke, H. Reichl, L. Stobbe, L,</t>
  </si>
  <si>
    <t>https://doi.org/10.1109/HPD.2004.1346690</t>
  </si>
  <si>
    <t>Quantifying the Environmental Footprint of Semiconductor Equipment Using the Environmental Value Systems Analysis (EnV-S)</t>
  </si>
  <si>
    <t>Krishnan, N., Raoux, S., Dornfeld, D.,</t>
  </si>
  <si>
    <t>https://doi.org/10.1109/TSM.2004.835705</t>
  </si>
  <si>
    <t>New generation of Predictive Technology Model for sub-45nm early design exploration</t>
  </si>
  <si>
    <t>W. Zhao and Y. Cao</t>
  </si>
  <si>
    <t>https://doi.org/10.1109/TED.2006.884077</t>
  </si>
  <si>
    <t>The use and evaluation of yield models in integrated circuit manufacturing</t>
  </si>
  <si>
    <t>J. A. Cunningham</t>
  </si>
  <si>
    <t>https://doi.org/10.1109/66.53188</t>
  </si>
  <si>
    <t>Assessing ICT's environmental impact</t>
  </si>
  <si>
    <t>A. Shah, T. Christian, C. Patel, C. Bash, and R. Sharma, "</t>
  </si>
  <si>
    <t>https://doi.ieeecomputersociety.org/10.1109/MC.2009.209</t>
  </si>
  <si>
    <t>No access</t>
  </si>
  <si>
    <t>Developing an overall CO2 footprint for semiconductor products</t>
  </si>
  <si>
    <t>Higgs T, Cullen M, Yao M, Stewart S</t>
  </si>
  <si>
    <t>https://doi.org/10.1109/ISSST.2009.5156786</t>
  </si>
  <si>
    <t>The environmental impacts of electronics. Going beyond the walls of semiconductor fabs</t>
  </si>
  <si>
    <t>Andrius Plepys</t>
  </si>
  <si>
    <t>https://doi.org/10.1109/ISEE.2004.1299707</t>
  </si>
  <si>
    <t>We rather consider Plepys 2004 which gathers his whole work</t>
  </si>
  <si>
    <t>Life cycle inventory development for wafer fabrication in semiconductor manufacturing</t>
  </si>
  <si>
    <t>C.F. Murphy; J.-P. Laurent; D.T. Allen</t>
  </si>
  <si>
    <t>https://doi.org/10.1109/ISEE.2003.1208089</t>
  </si>
  <si>
    <t>TOTAL analyzed</t>
  </si>
  <si>
    <t>From Table 2</t>
  </si>
  <si>
    <t xml:space="preserve"> GWP</t>
  </si>
  <si>
    <t>ICs, silicon die area</t>
  </si>
  <si>
    <t>No sufficient information. Moreover, it is based on mass rather than area and the factor for embodied emissions is derived from Boyd (2009) which is already covered in this study. --&gt; THEREFORE, this is not included in this study</t>
  </si>
  <si>
    <t>This is very similar to its previous publication, but we consider both.</t>
  </si>
  <si>
    <t xml:space="preserve">https://doi.org/10.1109/IEDM13553.2020.9372004  </t>
  </si>
  <si>
    <t xml:space="preserve">Data extracted from Figures with https://apps.automeris.io/wpd/ </t>
  </si>
  <si>
    <t>GHG Emissions</t>
  </si>
  <si>
    <t>Values extracted from the figures</t>
  </si>
  <si>
    <t>Technology node</t>
  </si>
  <si>
    <t>8 (EUV)</t>
  </si>
  <si>
    <t>7 (EUV)</t>
  </si>
  <si>
    <t>nm</t>
  </si>
  <si>
    <t>GHG emissions from electricity generation, worst case scenario (Fig. 13)</t>
  </si>
  <si>
    <t>kgCO2eq/cm^2</t>
  </si>
  <si>
    <t>GHG emissions for full process, assuming NF3 abatement factor of (a) 95% (Fig. 15)</t>
  </si>
  <si>
    <t>Total GHG emission per node</t>
  </si>
  <si>
    <t xml:space="preserve">Total manufacturing electricity per cm2 for full process flows (Fig. 11) </t>
  </si>
  <si>
    <t>kWh/cm2</t>
  </si>
  <si>
    <t>Total primary energy per node (conversion)</t>
  </si>
  <si>
    <t>Total Ultra Pure Water (UPW) usage in liters per cm2 for full process flows (Fig. 14)</t>
  </si>
  <si>
    <t>liter/cm2</t>
  </si>
  <si>
    <t>1.025, 0.943</t>
  </si>
  <si>
    <t>0.702, 0.746</t>
  </si>
  <si>
    <t>2.001, 1.146</t>
  </si>
  <si>
    <t>1.681, 0.900</t>
  </si>
  <si>
    <t>3.002, 1.134</t>
  </si>
  <si>
    <t>2.692, 0.886</t>
  </si>
  <si>
    <t>4.004, 1.465</t>
  </si>
  <si>
    <t>3.691, 1.157</t>
  </si>
  <si>
    <t>4.993, 1.686</t>
  </si>
  <si>
    <t>4.692, 1.320</t>
  </si>
  <si>
    <t>6.006, 1.639</t>
  </si>
  <si>
    <t>5.681, 1.289</t>
  </si>
  <si>
    <t>6.983, 2.098</t>
  </si>
  <si>
    <t>6.656, 1.646</t>
  </si>
  <si>
    <t>8.033, 2.098</t>
  </si>
  <si>
    <t>7.667, 1.637</t>
  </si>
  <si>
    <t>9.022, 2.767</t>
  </si>
  <si>
    <t>8.656, 2.169</t>
  </si>
  <si>
    <t>10.036, 2.871</t>
  </si>
  <si>
    <t>9.635, 2.254</t>
  </si>
  <si>
    <t>11.000, 3.273</t>
  </si>
  <si>
    <t>10.635, 2.566</t>
  </si>
  <si>
    <t>1.000, 0.177</t>
  </si>
  <si>
    <t>2.008, 0.194</t>
  </si>
  <si>
    <t>3.036, 0.199</t>
  </si>
  <si>
    <t>4.023, 0.246</t>
  </si>
  <si>
    <t>5.031, 0.288</t>
  </si>
  <si>
    <t>6.019, 0.245</t>
  </si>
  <si>
    <t>7.026, 0.396</t>
  </si>
  <si>
    <t>8.014, 0.358</t>
  </si>
  <si>
    <t>9.002, 0.326</t>
  </si>
  <si>
    <t>9.989, 0.425</t>
  </si>
  <si>
    <t>10.997, 0.436</t>
  </si>
  <si>
    <t>12.005, 0.433</t>
  </si>
  <si>
    <t>13.033, 0.474</t>
  </si>
  <si>
    <t>14.020, 0.482</t>
  </si>
  <si>
    <t>1.036, 5.764</t>
  </si>
  <si>
    <t>2.026, 6.364</t>
  </si>
  <si>
    <t>3.046, 6.182</t>
  </si>
  <si>
    <t>4.007, 7.591</t>
  </si>
  <si>
    <t>5.028, 9.222</t>
  </si>
  <si>
    <t>6.001, 7.926</t>
  </si>
  <si>
    <t>7.010, 11.816</t>
  </si>
  <si>
    <t>8.012, 10.045</t>
  </si>
  <si>
    <t>9.019, 12.374</t>
  </si>
  <si>
    <t>10.009, 12.611</t>
  </si>
  <si>
    <t>11.001, 14.410</t>
  </si>
  <si>
    <t>cfr Table 4.2</t>
  </si>
  <si>
    <t xml:space="preserve">Data extracted from Figure with https://apps.automeris.io/wpd/ </t>
  </si>
  <si>
    <t xml:space="preserve"> Energy</t>
  </si>
  <si>
    <t xml:space="preserve"> Water</t>
  </si>
  <si>
    <t>kgCO2e/cm2
(scope 2 only)</t>
  </si>
  <si>
    <t>kgCO2e/cm2
(scope 2 and approx. scope 1)</t>
  </si>
  <si>
    <t>Data already disclosed in its previous publications.
THEREFORE, we do not add these data to our study.</t>
  </si>
  <si>
    <t>(value used in the paper)</t>
  </si>
  <si>
    <t>min (paper)</t>
  </si>
  <si>
    <t>max (paper)</t>
  </si>
  <si>
    <t>Intel</t>
  </si>
  <si>
    <t>MCC</t>
  </si>
  <si>
    <t>(disclosed as an outlier, not considered in this study)</t>
  </si>
  <si>
    <t>Note: MPD = Micromachined Products Division</t>
  </si>
  <si>
    <t>From Table II</t>
  </si>
  <si>
    <t>From Figure 28.7.6</t>
  </si>
  <si>
    <t>From Figure 5 and Table 1</t>
  </si>
  <si>
    <t>GHG Emissions - Energy</t>
  </si>
  <si>
    <t>(TI, ISSCC 2011)</t>
  </si>
  <si>
    <t>(MIT, JSSC 2009)</t>
  </si>
  <si>
    <t>(UCL, JSSC, 2013)</t>
  </si>
  <si>
    <t>High-end</t>
  </si>
  <si>
    <t>Mainstream</t>
  </si>
  <si>
    <t>Set-top boxes</t>
  </si>
  <si>
    <t>Smart phones</t>
  </si>
  <si>
    <t>Wireless sensors</t>
  </si>
  <si>
    <t>GWP for IC production (one item)</t>
  </si>
  <si>
    <t>Logic + Flash</t>
  </si>
  <si>
    <t>Die area</t>
  </si>
  <si>
    <t>mm2</t>
  </si>
  <si>
    <t>Embodied energy (one item)</t>
  </si>
  <si>
    <t>MJ/year</t>
  </si>
  <si>
    <t>Total GHG emission</t>
  </si>
  <si>
    <t>Lifetime</t>
  </si>
  <si>
    <t>year</t>
  </si>
  <si>
    <t>Total energy</t>
  </si>
  <si>
    <t>0.016671627000350075, 43215.33377707453, Bar0</t>
  </si>
  <si>
    <t xml:space="preserve">1.266307778348307, 7833.733254099684, </t>
  </si>
  <si>
    <t xml:space="preserve">2.509345595714272, 5037.971404492563, </t>
  </si>
  <si>
    <t xml:space="preserve">3.759398742146593, 6465.310482368943, </t>
  </si>
  <si>
    <t xml:space="preserve">5.001782449576301, 192.99169057073027, </t>
  </si>
  <si>
    <t>We assume MJ to be MJ_primary, as not detailed in the paper.</t>
  </si>
  <si>
    <t xml:space="preserve">https://link.springer.com/book/10.1007/978-1-4419-9988-7  </t>
  </si>
  <si>
    <t>Data extracted from the tables</t>
  </si>
  <si>
    <t>Unit conversions</t>
  </si>
  <si>
    <t>from Table 4.14</t>
  </si>
  <si>
    <t>iN</t>
  </si>
  <si>
    <t>Net yield : chips/wafer</t>
  </si>
  <si>
    <t xml:space="preserve">chip size </t>
  </si>
  <si>
    <t>cm^2</t>
  </si>
  <si>
    <t>die size (cm^2/die)</t>
  </si>
  <si>
    <t>Water consumption</t>
  </si>
  <si>
    <t>from Table A.2</t>
  </si>
  <si>
    <t>Fab feedwater</t>
  </si>
  <si>
    <t>L/die</t>
  </si>
  <si>
    <t>Fab elec (NOT INCLUDED HERE!)</t>
  </si>
  <si>
    <t>Silicon</t>
  </si>
  <si>
    <t>Infra</t>
  </si>
  <si>
    <t>Chemicals</t>
  </si>
  <si>
    <t>Total (prod)</t>
  </si>
  <si>
    <t>L/cm2</t>
  </si>
  <si>
    <t>Primary energy consumption in CMOS logic</t>
  </si>
  <si>
    <t>from Table A.1</t>
  </si>
  <si>
    <t>Fab (WW av)</t>
  </si>
  <si>
    <t>MJ/die</t>
  </si>
  <si>
    <t xml:space="preserve">Infrastructure </t>
  </si>
  <si>
    <t xml:space="preserve">Silicon wafer prod.  </t>
  </si>
  <si>
    <t>Chemicals  [MJ/die]</t>
  </si>
  <si>
    <t>Total [MJ/die]</t>
  </si>
  <si>
    <t xml:space="preserve">Chemicals  </t>
  </si>
  <si>
    <t>Global Warming Potential in CMOS logic</t>
  </si>
  <si>
    <t>from Table A.3</t>
  </si>
  <si>
    <t>Fab. ideal PFC abat. (50%)</t>
  </si>
  <si>
    <t>kgCO2eq/die</t>
  </si>
  <si>
    <t>Primary energy consumption in DRAM</t>
  </si>
  <si>
    <t>from Table 7.2 and figure</t>
  </si>
  <si>
    <t>OS memory capacity</t>
  </si>
  <si>
    <t>Gb</t>
  </si>
  <si>
    <t>Primary energy use for specific Operation System (estimate from graph, very rough but ok order of magnitude)</t>
  </si>
  <si>
    <t>MJ/OS</t>
  </si>
  <si>
    <t>Moreover, if we compared the MJ/cm2 for the 250nm, it does not fit with Fig. 7.11 ... 
So I suggest not to consider this table at least for the moment"""</t>
  </si>
  <si>
    <t xml:space="preserve">Use estimation </t>
  </si>
  <si>
    <t>DRAM 128 MB 250nm</t>
  </si>
  <si>
    <t>Fig. 7.11</t>
  </si>
  <si>
    <t>silicon</t>
  </si>
  <si>
    <t xml:space="preserve">chemicals  </t>
  </si>
  <si>
    <t>trans</t>
  </si>
  <si>
    <t>fab and assembly</t>
  </si>
  <si>
    <t>min, conversion from (Ercan 2016)</t>
  </si>
  <si>
    <t>(yield not included)</t>
  </si>
  <si>
    <t>max, conversion from (Ercan 2016)</t>
  </si>
  <si>
    <t>Clement also mentioned 2.7-4.3 kgCO2eq/cm2 in Table 1, which is not what he mentioned in the text.
This does not fit the upper bound (with yield included) of Ercan 2016 either. 
THEREFORE, we do not consider these data in the study</t>
  </si>
  <si>
    <t>CFR sheet "Krishnan data" because we considered the data differently (not only semicon manufacturing).
For the rest, the sources mentioned are already taken into account. (although we have 1.29 and 1.56 kWh/cm2, see the sheet "Murhpy data").
THEREFORE, we do not consider this data in this study.</t>
  </si>
  <si>
    <t>Also, from the best of our knowledge, there are errors in the "source" column of Table 2. 
- The first one should be Williams (2002)
- The one before the end should be Murphy
So we are not confident for the others</t>
  </si>
  <si>
    <t>DRAM, GaBi estimate (min)</t>
  </si>
  <si>
    <t>DRAM, GaBi estimate (max)</t>
  </si>
  <si>
    <t>DRAM, Boyd estimate</t>
  </si>
  <si>
    <t>GaBi estimate</t>
  </si>
  <si>
    <t>Boyd estimate (min)</t>
  </si>
  <si>
    <t>Boyd estimate (max)</t>
  </si>
  <si>
    <t>Flash, GaBi estimate (min)</t>
  </si>
  <si>
    <t>MPU, GaBi estimate (min)</t>
  </si>
  <si>
    <t>MPU, GaBi estimate (max)</t>
  </si>
  <si>
    <t>L,M</t>
  </si>
  <si>
    <t>MCU, Flash, Boyd estimate (min)</t>
  </si>
  <si>
    <t>It seems that mm2 of package is mixed up with mm2 of die, which is really different.</t>
  </si>
  <si>
    <t xml:space="preserve">Data extracted from Fig. 4 with https://apps.automeris.io/wpd/ </t>
  </si>
  <si>
    <t>Energy Emissions</t>
  </si>
  <si>
    <t>Table 2</t>
  </si>
  <si>
    <t>Electricity -&gt; Energy</t>
  </si>
  <si>
    <t>Electricity --&gt; GHG (approx.)</t>
  </si>
  <si>
    <t>Direct fossil use
(MJ/cm2)</t>
  </si>
  <si>
    <t>Site electricity
(kWh/cm2)</t>
  </si>
  <si>
    <t>Total
(MJ/cm2)</t>
  </si>
  <si>
    <t>Share of elec on total</t>
  </si>
  <si>
    <t>1995-2006</t>
  </si>
  <si>
    <t>US Census</t>
  </si>
  <si>
    <t>1995.0147126755976, 1.4479569140229689</t>
  </si>
  <si>
    <t>1998;2002</t>
  </si>
  <si>
    <t>US MECS</t>
  </si>
  <si>
    <t>ASM</t>
  </si>
  <si>
    <t>1995.9943205333946, 1.4598819247704315</t>
  </si>
  <si>
    <t>Japan nati.</t>
  </si>
  <si>
    <t>1997.0173721719486, 1.6724066572854446</t>
  </si>
  <si>
    <t>1998-2005</t>
  </si>
  <si>
    <t>1998.0055512981066, 1.6968654791499223</t>
  </si>
  <si>
    <t>(1995-2006)</t>
  </si>
  <si>
    <t>1999.0095912759975, 1.4454522879412135</t>
  </si>
  <si>
    <t>MEDIAN</t>
  </si>
  <si>
    <t>1999.9882111682825, 1.225402996472696</t>
  </si>
  <si>
    <t>AVERAGE</t>
  </si>
  <si>
    <t>2001.0039732234645, 1.7263335531779114</t>
  </si>
  <si>
    <t>2001.9839816078204, 1.8323021999588793</t>
  </si>
  <si>
    <t>2003.0059651755507, 1.7940439030512112</t>
  </si>
  <si>
    <t>Section 3.3 : In this article, we define the primary energy of electricity as the total fossil fuels
needed to supply global average electricity, including the life cycle fossil fuel inputs to produce fuels and non-fossil inputs. With this definition we calculate primary energy of electricity as 2.76 MJ per
1 MJ direct electric energy consumed.</t>
  </si>
  <si>
    <t>2003.9924353883907, 1.4172498778393996</t>
  </si>
  <si>
    <t>2004.9977303494995, 1.4605067462023404</t>
  </si>
  <si>
    <t>1997.9872605852495, 1.4022061002865098</t>
  </si>
  <si>
    <t>1999.0002990598307, 1.2636399319638887</t>
  </si>
  <si>
    <t>1999.9795864963805, 1.2003300338845468</t>
  </si>
  <si>
    <t>2000.9962030082215, 1.9018870141279067</t>
  </si>
  <si>
    <t>2001.9925795779518, 1.8511055868114614</t>
  </si>
  <si>
    <t>2002.9792634049563, 1.5244681674841858</t>
  </si>
  <si>
    <t>--&gt; PEF = 2.76</t>
  </si>
  <si>
    <t>2003.9837840147181, 1.3859073395156833</t>
  </si>
  <si>
    <t>2004.9898533271742, 1.610981904210068</t>
  </si>
  <si>
    <t>Taiwanese semiconductor industry</t>
  </si>
  <si>
    <t>US macto-statistics</t>
  </si>
  <si>
    <t>(taken into account in Hu 2003)</t>
  </si>
  <si>
    <t>Section B (Data collection) : 
Two sets of time series data on energy use on semiconductor
manufacturing were collected. One is the Annual Survey of
Manufacturers (ASM) from the U.S. Census, which gives total
electricity consumption of the U.S. semiconductor sector. This
is normalized per unit of input silicon wafer by using industry
data on total wafer consumption in the U.S. This set of data
spans from 1995 to 2005. The second source is a series of
annual reports from the Taiwanese semiconductor
manufacturer UMC, which shows electricity use per area of
input wafer. This set of data spans from 1998 to 2005.</t>
  </si>
  <si>
    <t>memories (paper)</t>
  </si>
  <si>
    <t>ICs smartphone, average (paper)</t>
  </si>
  <si>
    <t>ASICs (paper)</t>
  </si>
  <si>
    <t>Processors and ASICs, average (paper)</t>
  </si>
  <si>
    <t>low value, yield not included</t>
  </si>
  <si>
    <t>Memories, average (paper)</t>
  </si>
  <si>
    <t>high value, yield not included</t>
  </si>
  <si>
    <t>min, low-end</t>
  </si>
  <si>
    <t>low value, yield included</t>
  </si>
  <si>
    <t>max, low-end</t>
  </si>
  <si>
    <t>high value, yield included</t>
  </si>
  <si>
    <t>(assumed to be an outlier, not considered in this study)</t>
  </si>
  <si>
    <t>ICs</t>
  </si>
  <si>
    <t>ICs, Estimated from Boyd</t>
  </si>
  <si>
    <t>From Fig. 2</t>
  </si>
  <si>
    <t>From Table III</t>
  </si>
  <si>
    <t xml:space="preserve"> Energy - GWP</t>
  </si>
  <si>
    <t>Tech. node</t>
  </si>
  <si>
    <t>The very high amount for 28nm might be exlpained by the hypothesis of the authors regarding the modeling of multiple patterning. It seems that they extrapolated Murphy's model and there is no guarantee that it is still valid for this more specific process. This would require more details. 
Furthermore, the Figure is more precise in the 2017 paper, so we use that one. 
THEREFORE, we do not condiser these data.</t>
  </si>
  <si>
    <t>Same explanation for the 28nm. 
THEREFORE, we do not condiser the 28nm values.</t>
  </si>
  <si>
    <t>349.37, 0.93</t>
  </si>
  <si>
    <t>348.74, 0.07</t>
  </si>
  <si>
    <t>248.80, 0.73</t>
  </si>
  <si>
    <t>249.61, 0.05</t>
  </si>
  <si>
    <t>351.2597, 0.9559</t>
  </si>
  <si>
    <t>350.0000, 0.0641</t>
  </si>
  <si>
    <t>179.01, 0.67</t>
  </si>
  <si>
    <t>178.27, 0.05</t>
  </si>
  <si>
    <t>297.1960, 0.7578</t>
  </si>
  <si>
    <t>295.9558, 0.0438</t>
  </si>
  <si>
    <t>128.57, 0.53</t>
  </si>
  <si>
    <t>129.34, 0.04</t>
  </si>
  <si>
    <t>243.8729, 0.7063</t>
  </si>
  <si>
    <t>241.9116, 0.0494</t>
  </si>
  <si>
    <t>87.32, 0.58</t>
  </si>
  <si>
    <t>88.61, 0.04</t>
  </si>
  <si>
    <t>189.8412, 0.5580</t>
  </si>
  <si>
    <t>188.8382, 0.0341</t>
  </si>
  <si>
    <t>62.90, 0.62</t>
  </si>
  <si>
    <t>63.67, 0.04</t>
  </si>
  <si>
    <t>136.2594, 0.6060</t>
  </si>
  <si>
    <t>135.1176, 0.0415</t>
  </si>
  <si>
    <t>43.23, 0.77</t>
  </si>
  <si>
    <t>44.10, 0.06</t>
  </si>
  <si>
    <t>83.6481, 0.6566</t>
  </si>
  <si>
    <t>82.0442, 0.0409</t>
  </si>
  <si>
    <t>25.78, 3.78</t>
  </si>
  <si>
    <t>27.37, 0.50</t>
  </si>
  <si>
    <t>30.4552, 0.8067</t>
  </si>
  <si>
    <t>29.2945, 0.0549</t>
  </si>
  <si>
    <t>Scope</t>
  </si>
  <si>
    <t>MJ/wafer</t>
  </si>
  <si>
    <t>Devices are fabricated on silicon wafer substrates that are 300 mm in diameter, and we choose this wafer as a functional unit. The microprocessor described in this work is equivalent to a Pentium 4. Each 300 mm wafer can produce 442 such functioning Pentium 4 equivalent processors (the wafer can be diced into 491 processors, with a mature die yield of approximately 90%).</t>
  </si>
  <si>
    <t>Chemical manufacturing</t>
  </si>
  <si>
    <t>Si wafer production</t>
  </si>
  <si>
    <t>Equipment manufacturing</t>
  </si>
  <si>
    <t>Semiconductor fabrication</t>
  </si>
  <si>
    <t>Total Energy</t>
  </si>
  <si>
    <t>Pentium 4 (6 -layer microprocessor)</t>
  </si>
  <si>
    <t>MJ for IC production (one wafer)</t>
  </si>
  <si>
    <t>Wafer Area</t>
  </si>
  <si>
    <t>Number of dies per wafer</t>
  </si>
  <si>
    <t>https://math.stackexchange.com/questions/3007527/how-many-squares-fit-in-a-circle</t>
  </si>
  <si>
    <t>Die size : rough estimation</t>
  </si>
  <si>
    <t>cm2/die</t>
  </si>
  <si>
    <t>https://www.symbolab.com/solver/equation-calculator/491%3D%5Cfrac%7B3.14%5Ccdot%5Cleft(150%5E%7B2%7D%5Cright)%7D%7Bx%7D-%5Cfrac%7B3.14%5Ccdot150%7D%7B%5Csqrt%7B2%5Ccdot%20x%7D%7D?or=input</t>
  </si>
  <si>
    <t>Die size (better estimation)</t>
  </si>
  <si>
    <t>mm2/die</t>
  </si>
  <si>
    <t>-&gt; fraction lost of wafer :</t>
  </si>
  <si>
    <t>Total energy per cm2</t>
  </si>
  <si>
    <t>-&gt; effective fraction of wafer used for dies</t>
  </si>
  <si>
    <t>Total energy per cm2 (better estimation)</t>
  </si>
  <si>
    <t>Total energy per cm2 (including Deng ratio)</t>
  </si>
  <si>
    <t>minimum</t>
  </si>
  <si>
    <t>Data were collected over a 1-year period (from April 1998 to September 1999) using central monitoring systems.</t>
  </si>
  <si>
    <t>maximum</t>
  </si>
  <si>
    <t>average</t>
  </si>
  <si>
    <t>EPA estimate, US national average</t>
  </si>
  <si>
    <t>From Introduction</t>
  </si>
  <si>
    <t>US Departement of Commerce and Dataquest</t>
  </si>
  <si>
    <t>From abstract</t>
  </si>
  <si>
    <t>Pei P. International energy project status</t>
  </si>
  <si>
    <t>https://doi.org/10.1007/s13762-015-0869-z</t>
  </si>
  <si>
    <t>No quantitative data disclosed in the paper because confidentiality issues, although it would have been really interesting given the level of details.</t>
  </si>
  <si>
    <t>µm</t>
  </si>
  <si>
    <t>Energy for one wafer (6-layers)</t>
  </si>
  <si>
    <t>kWh</t>
  </si>
  <si>
    <t>Energy for one wafer (8-layers)</t>
  </si>
  <si>
    <t>Effective die area per wafer</t>
  </si>
  <si>
    <t>(this seems very low)</t>
  </si>
  <si>
    <t>Total energy per cm2 (6-layers)</t>
  </si>
  <si>
    <t>Total energy per cm2 (8-layers)</t>
  </si>
  <si>
    <t xml:space="preserve">https://citeseerx.ist.psu.edu/viewdoc/download?doi=10.1.1.118.6922&amp;rep=rep1&amp;type=pdf </t>
  </si>
  <si>
    <t>p.27</t>
  </si>
  <si>
    <t>kWh/cm2 wafer
[RAW DATA]</t>
  </si>
  <si>
    <t>MJ_prim/cm2
(only elec)</t>
  </si>
  <si>
    <t>MJ_prim/cm2
(total, approx. via Deng)</t>
  </si>
  <si>
    <t>As data are given per area of processed wafer for total energy consumption and per total area of wafer for water consumption, we assume that yields are not considered in both case, although this is not explicitly mentioned. We also assume that only front-end processing was considered as data are given per area of wafer. Regarding infrastructure and upstream chemicals, we assume they were not considered as not mentioned explicitly. The location is assumed to be GLOBAL when not disclosed as it gathers fabs from Tawain, Japan, Europe and US.</t>
  </si>
  <si>
    <t>Assumed to be an outlier, not considered in this study</t>
  </si>
  <si>
    <t>BEST CASE ESTIMATE (not considered in this study)</t>
  </si>
  <si>
    <t>Liter/cm2 wafer
[RAW DATA]</t>
  </si>
  <si>
    <t>Front-end</t>
  </si>
  <si>
    <t>From Tabelle 18</t>
  </si>
  <si>
    <t>From Tabelle 30</t>
  </si>
  <si>
    <t>Electricity</t>
  </si>
  <si>
    <t>Natural gas</t>
  </si>
  <si>
    <t>Back-end</t>
  </si>
  <si>
    <t>From Tabelle 27</t>
  </si>
  <si>
    <t>(Yield are included in these values)</t>
  </si>
  <si>
    <t>Yield are included in these values</t>
  </si>
  <si>
    <t>Total</t>
  </si>
  <si>
    <t>https://www.fairphone.com/wp-content/uploads/2020/07/Fairphone_3_LCA.pdf</t>
  </si>
  <si>
    <t>From Table 3-8</t>
  </si>
  <si>
    <t>From Table 3-7</t>
  </si>
  <si>
    <t>(Back-end evaluation is based on an assumption 1/2 - 2/3, see p.26)</t>
  </si>
  <si>
    <t xml:space="preserve">(Note that "Fab direct emissions and EoL is not accounted here, delta of 0.15 kgCO2eq) </t>
  </si>
  <si>
    <t>logic</t>
  </si>
  <si>
    <t>DRAM</t>
  </si>
  <si>
    <t>Table B.2</t>
  </si>
  <si>
    <t>Table B.3</t>
  </si>
  <si>
    <t>Table B.1</t>
  </si>
  <si>
    <t>Energy - GWP</t>
  </si>
  <si>
    <t>Product</t>
  </si>
  <si>
    <t>PED</t>
  </si>
  <si>
    <t>Area (mm2)</t>
  </si>
  <si>
    <t>Area (cm2)</t>
  </si>
  <si>
    <t>GWP/cm2
(kgCO2eq/cm2)</t>
  </si>
  <si>
    <t>PED/cm2
(MJ/cm2)</t>
  </si>
  <si>
    <t>Desktop (ei)</t>
  </si>
  <si>
    <t>Desktop - tower</t>
  </si>
  <si>
    <t>Desktop - small</t>
  </si>
  <si>
    <t>Thin client</t>
  </si>
  <si>
    <t>LCD monitor, 17" (ei)</t>
  </si>
  <si>
    <t>LCD monitor, 21.5"</t>
  </si>
  <si>
    <t xml:space="preserve">Laptop, with dock, 12" (ei) </t>
  </si>
  <si>
    <t>Laptop, 16"</t>
  </si>
  <si>
    <t>Netbook, 10"</t>
  </si>
  <si>
    <t>iPad</t>
  </si>
  <si>
    <t>iPod touch</t>
  </si>
  <si>
    <t>Kindle</t>
  </si>
  <si>
    <t>Rack server</t>
  </si>
  <si>
    <t>Switch</t>
  </si>
  <si>
    <t>MIN</t>
  </si>
  <si>
    <t>MAX</t>
  </si>
  <si>
    <t>From Table 3.1</t>
  </si>
  <si>
    <t>Impacts per finished die area</t>
  </si>
  <si>
    <t>Williams (2004)</t>
  </si>
  <si>
    <t>considered in this study (because different from our evaluation)</t>
  </si>
  <si>
    <t>Yao et al (2010)</t>
  </si>
  <si>
    <t>(discarded in Teehan)</t>
  </si>
  <si>
    <t>Hischier et al (2007)</t>
  </si>
  <si>
    <t>considered in this study</t>
  </si>
  <si>
    <t>IVF (2007)</t>
  </si>
  <si>
    <t xml:space="preserve">Williams et al. (2002) </t>
  </si>
  <si>
    <t>Krishnan et al (2008)</t>
  </si>
  <si>
    <t>Boyd et al (2009)</t>
  </si>
  <si>
    <t>Andrae and Anderson (2010)</t>
  </si>
  <si>
    <t>considered in this study (because it was given per mass in Williams, so not considered there)</t>
  </si>
  <si>
    <t>From Table 1</t>
  </si>
  <si>
    <t>ATTENTION: not peer-reviewed nor officially published</t>
  </si>
  <si>
    <t>CMOS</t>
  </si>
  <si>
    <t>FinFET, LR</t>
  </si>
  <si>
    <t>FinFET, HR</t>
  </si>
  <si>
    <t>Wafer area</t>
  </si>
  <si>
    <t>global average direct fossil use (MJ/cm2)</t>
  </si>
  <si>
    <t>Site electricity use (kWh/cm2)</t>
  </si>
  <si>
    <t>total</t>
  </si>
  <si>
    <t>results (paper)</t>
  </si>
  <si>
    <t>see Fig.3 p.5509</t>
  </si>
  <si>
    <t>1995-2000</t>
  </si>
  <si>
    <t>Table 1 --&gt; but really close to the numbers in Deng 2011.
However, to obtain 8.2 MJ/cm2, he considers MJ in final energy because 1.54*3.6 + 2.7 = 8.24 MJ/cm2.
THEREFORE, we do not consider these data which is already captured in the other sources</t>
  </si>
  <si>
    <t>1993-1999</t>
  </si>
  <si>
    <t>US Census Annual Survey of Manufacturers</t>
  </si>
  <si>
    <t>min, Semi International</t>
  </si>
  <si>
    <t>JEIDA (Japan Electronics Industry Development Association)</t>
  </si>
  <si>
    <t>max, Semi International</t>
  </si>
  <si>
    <t>min, SEMATECH (US)</t>
  </si>
  <si>
    <t>1998-2001</t>
  </si>
  <si>
    <t>max, SEMATECH (US)</t>
  </si>
  <si>
    <t>average, SEMATECH (US)</t>
  </si>
  <si>
    <t>Table 1 and 2 --&gt; but really close to the numbers in Deng 2011
THEREFORE, we do not consider these data</t>
  </si>
  <si>
    <t xml:space="preserve">As the Fig. 3 is the same as in its previous publication (2002) and because "embodied fossil fuel" is harder to include due to the lack of conversion factor, we assume this is the same data as in the publication of 2002. 
THEREFORE, we do not include it in this study (as already covered). </t>
  </si>
  <si>
    <t xml:space="preserve">Data extracted from Figure 1 with https://apps.automeris.io/wpd/ </t>
  </si>
  <si>
    <t>World Semiconductor Council</t>
  </si>
  <si>
    <t>2001.04, 1.65</t>
  </si>
  <si>
    <t>2002.02, 1.60</t>
  </si>
  <si>
    <t>2003.04, 1.52</t>
  </si>
  <si>
    <t>2004.02, 1.40</t>
  </si>
  <si>
    <t>2005.01, 1.36</t>
  </si>
  <si>
    <t>2006.01, 1.25</t>
  </si>
  <si>
    <t>2007.00, 1.04</t>
  </si>
  <si>
    <t>2008.01, 1.04</t>
  </si>
  <si>
    <t>cfr sheet "Industries data"</t>
  </si>
  <si>
    <t>Production (cm²)</t>
  </si>
  <si>
    <t>Average</t>
  </si>
  <si>
    <t>TOT</t>
  </si>
  <si>
    <t>Worldwide production (cm²)</t>
  </si>
  <si>
    <t>Coverage (this study)</t>
  </si>
  <si>
    <t>Weightening (% of worldwide production)</t>
  </si>
  <si>
    <t>NOT USED</t>
  </si>
  <si>
    <t>Annual Growth (%)</t>
  </si>
  <si>
    <t>Foundry</t>
  </si>
  <si>
    <t>Share of scope 2 in total (scope 1+2)</t>
  </si>
  <si>
    <t>see sheet "Industry data"</t>
  </si>
  <si>
    <t>UMC tot GHG (kgCO2e/cm²)</t>
  </si>
  <si>
    <t>UMC Scope 1 (kgCO2e/cm²)</t>
  </si>
  <si>
    <t>UMC Scope 1 share (% of tot)</t>
  </si>
  <si>
    <t>UMC F-GHG (kTCO2e)</t>
  </si>
  <si>
    <t>UMC F-GHG (kgCO2e/cm²)</t>
  </si>
  <si>
    <t>UMC F-GHG share (% of scope 1)</t>
  </si>
  <si>
    <t>UMC F-GHG share (% of tot)</t>
  </si>
  <si>
    <t>HFC</t>
  </si>
  <si>
    <t>PFC</t>
  </si>
  <si>
    <t>SF6</t>
  </si>
  <si>
    <t>NF3</t>
  </si>
  <si>
    <t>Tot</t>
  </si>
  <si>
    <t xml:space="preserve">https://doi.org/10.1109/IEDM13553.2020.9372004 </t>
  </si>
  <si>
    <t>Fig. 13 (70% coal, 20% hydro, 5% nuclear, 5% solar)</t>
  </si>
  <si>
    <t>Fig. 15a</t>
  </si>
  <si>
    <t>Fig. 15b</t>
  </si>
  <si>
    <t>Bardon tot GHG (kgCO2e/cm2)</t>
  </si>
  <si>
    <t>F-GHG, 95% abat (kgCO2eq/cm2)</t>
  </si>
  <si>
    <t>F-GHG, 99% abat (kgCO2eq/cm2)</t>
  </si>
  <si>
    <t>F-GHG 95% abat, share (% of tot)</t>
  </si>
  <si>
    <t>F-GHG 99% abat, share (% of tot)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</si>
</sst>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
  </numFmts>
  <fonts count="62" x14ac:knownFonts="1">
    <font>
      <sz val="12"/>
      <color theme="1"/>
      <name val="Calibri"/>
      <family val="2"/>
      <scheme val="minor"/>
    </font>
    <font>
      <b/>
      <sz val="12"/>
      <color theme="1"/>
      <name val="Calibri"/>
      <family val="2"/>
      <scheme val="minor"/>
    </font>
    <font>
      <b/>
      <sz val="28"/>
      <color rgb="FF000000"/>
      <name val="Calibri"/>
      <scheme val="minor"/>
    </font>
    <font>
      <u/>
      <sz val="12"/>
      <color theme="10"/>
      <name val="Calibri"/>
      <family val="2"/>
      <scheme val="minor"/>
    </font>
    <font>
      <u/>
      <sz val="12"/>
      <color theme="11"/>
      <name val="Calibri"/>
      <family val="2"/>
      <scheme val="minor"/>
    </font>
    <font>
      <sz val="12"/>
      <color rgb="FF000000"/>
      <name val="Calibri"/>
      <family val="2"/>
      <scheme val="minor"/>
    </font>
    <font>
      <i/>
      <sz val="12"/>
      <color theme="1"/>
      <name val="Calibri"/>
      <family val="2"/>
      <scheme val="minor"/>
    </font>
    <font>
      <sz val="12"/>
      <color rgb="FF000000"/>
      <name val="Calibri"/>
      <charset val="1"/>
    </font>
    <font>
      <sz val="12"/>
      <color rgb="FFFF0000"/>
      <name val="Calibri"/>
      <family val="2"/>
      <scheme val="minor"/>
    </font>
    <font>
      <sz val="10"/>
      <color theme="1"/>
      <name val="Arial"/>
      <charset val="1"/>
    </font>
    <font>
      <sz val="12"/>
      <color rgb="FFED7D31"/>
      <name val="Calibri"/>
      <family val="2"/>
      <scheme val="minor"/>
    </font>
    <font>
      <sz val="12"/>
      <color rgb="FFAEAAAA"/>
      <name val="Calibri"/>
      <family val="2"/>
      <scheme val="minor"/>
    </font>
    <font>
      <sz val="12"/>
      <color rgb="FFD0CECE"/>
      <name val="Calibri"/>
      <family val="2"/>
      <scheme val="minor"/>
    </font>
    <font>
      <sz val="12"/>
      <color rgb="FF000000"/>
      <name val="Calibri"/>
      <family val="2"/>
    </font>
    <font>
      <b/>
      <sz val="12"/>
      <color rgb="FFFF0000"/>
      <name val="Calibri"/>
      <family val="2"/>
      <scheme val="minor"/>
    </font>
    <font>
      <sz val="11"/>
      <color rgb="FF000000"/>
      <name val="Calibri"/>
      <family val="2"/>
    </font>
    <font>
      <sz val="8"/>
      <color theme="1"/>
      <name val="Calibri"/>
      <family val="2"/>
      <scheme val="minor"/>
    </font>
    <font>
      <sz val="12"/>
      <color rgb="FFFFFFFF"/>
      <name val="Calibri"/>
      <family val="2"/>
      <scheme val="minor"/>
    </font>
    <font>
      <sz val="10"/>
      <color theme="1"/>
      <name val="Calibri"/>
      <family val="2"/>
      <scheme val="minor"/>
    </font>
    <font>
      <b/>
      <sz val="12"/>
      <color rgb="FFAEAAAA"/>
      <name val="Calibri"/>
      <family val="2"/>
      <scheme val="minor"/>
    </font>
    <font>
      <b/>
      <sz val="16"/>
      <color theme="1"/>
      <name val="Calibri"/>
      <family val="2"/>
      <scheme val="minor"/>
    </font>
    <font>
      <sz val="12"/>
      <name val="Calibri"/>
      <family val="2"/>
      <scheme val="minor"/>
    </font>
    <font>
      <b/>
      <sz val="8"/>
      <color theme="1"/>
      <name val="Calibri"/>
      <family val="2"/>
      <scheme val="minor"/>
    </font>
    <font>
      <i/>
      <sz val="8"/>
      <color theme="1"/>
      <name val="Calibri"/>
      <family val="2"/>
      <scheme val="minor"/>
    </font>
    <font>
      <sz val="8"/>
      <color rgb="FFFFFFFF"/>
      <name val="Calibri"/>
      <family val="2"/>
      <scheme val="minor"/>
    </font>
    <font>
      <sz val="12"/>
      <color rgb="FFA6A6A6"/>
      <name val="Calibri"/>
      <family val="2"/>
      <scheme val="minor"/>
    </font>
    <font>
      <sz val="10"/>
      <color rgb="FFFF0000"/>
      <name val="Arial"/>
      <charset val="1"/>
    </font>
    <font>
      <sz val="12"/>
      <color rgb="FFBFBFBF"/>
      <name val="Calibri"/>
      <family val="2"/>
      <scheme val="minor"/>
    </font>
    <font>
      <sz val="12"/>
      <color rgb="FF4472C4"/>
      <name val="Calibri"/>
      <family val="2"/>
      <scheme val="minor"/>
    </font>
    <font>
      <sz val="10"/>
      <color rgb="FF4472C4"/>
      <name val="Arial"/>
      <charset val="1"/>
    </font>
    <font>
      <b/>
      <sz val="12"/>
      <color rgb="FF000000"/>
      <name val="Calibri"/>
      <family val="2"/>
      <scheme val="minor"/>
    </font>
    <font>
      <sz val="11"/>
      <color rgb="FFAEAAAA"/>
      <name val="Calibri"/>
      <family val="2"/>
    </font>
    <font>
      <sz val="12"/>
      <color rgb="FF757171"/>
      <name val="Calibri"/>
      <family val="2"/>
      <scheme val="minor"/>
    </font>
    <font>
      <sz val="10"/>
      <color rgb="FF000000"/>
      <name val="Arial"/>
      <charset val="1"/>
    </font>
    <font>
      <sz val="12"/>
      <color rgb="FF000000"/>
      <name val="Calibri"/>
    </font>
    <font>
      <b/>
      <sz val="16"/>
      <color rgb="FF333333"/>
      <name val="Calibri"/>
    </font>
    <font>
      <sz val="16"/>
      <color rgb="FF333333"/>
      <name val="Calibri"/>
    </font>
    <font>
      <sz val="12"/>
      <color rgb="FF333333"/>
      <name val="Calibri"/>
    </font>
    <font>
      <sz val="11"/>
      <color rgb="FF444444"/>
      <name val="Calibri"/>
      <charset val="1"/>
    </font>
    <font>
      <b/>
      <sz val="12"/>
      <color rgb="FFA6A6A6"/>
      <name val="Calibri"/>
      <family val="2"/>
      <scheme val="minor"/>
    </font>
    <font>
      <b/>
      <sz val="12"/>
      <color rgb="FFA5A5A5"/>
      <name val="Calibri"/>
      <family val="2"/>
      <scheme val="minor"/>
    </font>
    <font>
      <sz val="12"/>
      <color rgb="FFA5A5A5"/>
      <name val="Calibri"/>
      <family val="2"/>
      <scheme val="minor"/>
    </font>
    <font>
      <i/>
      <sz val="12"/>
      <color rgb="FFA5A5A5"/>
      <name val="Calibri"/>
      <family val="2"/>
      <scheme val="minor"/>
    </font>
    <font>
      <b/>
      <sz val="12"/>
      <color rgb="FFC00000"/>
      <name val="Calibri"/>
      <family val="2"/>
      <scheme val="minor"/>
    </font>
    <font>
      <sz val="12"/>
      <color rgb="FFC00000"/>
      <name val="Calibri"/>
      <family val="2"/>
      <scheme val="minor"/>
    </font>
    <font>
      <b/>
      <sz val="12"/>
      <color rgb="FF000000"/>
      <name val="Calibri"/>
    </font>
    <font>
      <b/>
      <sz val="28"/>
      <color rgb="FFFFFFFF"/>
      <name val="Calibri"/>
      <scheme val="minor"/>
    </font>
    <font>
      <b/>
      <sz val="16"/>
      <color rgb="FFFFFFFF"/>
      <name val="Calibri"/>
      <family val="2"/>
      <scheme val="minor"/>
    </font>
    <font>
      <b/>
      <i/>
      <sz val="12"/>
      <color rgb="FF000000"/>
      <name val="Calibri"/>
      <family val="2"/>
      <scheme val="minor"/>
    </font>
    <font>
      <b/>
      <i/>
      <sz val="12"/>
      <color theme="1"/>
      <name val="Calibri"/>
      <family val="2"/>
      <scheme val="minor"/>
    </font>
    <font>
      <b/>
      <i/>
      <sz val="12"/>
      <color rgb="FFDBDBDB"/>
      <name val="Calibri"/>
      <family val="2"/>
      <scheme val="minor"/>
    </font>
    <font>
      <sz val="12"/>
      <color rgb="FFDBDBDB"/>
      <name val="Calibri"/>
      <family val="2"/>
      <scheme val="minor"/>
    </font>
    <font>
      <b/>
      <sz val="10"/>
      <color theme="1"/>
      <name val="Arial"/>
      <charset val="1"/>
    </font>
    <font>
      <b/>
      <sz val="12"/>
      <color rgb="FF595959"/>
      <name val="Calibri"/>
      <family val="2"/>
      <scheme val="minor"/>
    </font>
    <font>
      <b/>
      <sz val="8"/>
      <color rgb="FF000000"/>
      <name val="Calibri"/>
      <family val="2"/>
      <scheme val="minor"/>
    </font>
    <font>
      <b/>
      <sz val="11"/>
      <color rgb="FF000000"/>
      <name val="Calibri"/>
      <family val="2"/>
    </font>
    <font>
      <b/>
      <sz val="11"/>
      <color rgb="FFE7E6E6"/>
      <name val="Calibri"/>
      <family val="2"/>
    </font>
    <font>
      <sz val="9"/>
      <color rgb="FF333333"/>
      <name val="Calibri"/>
    </font>
    <font>
      <sz val="12"/>
      <color theme="1"/>
      <name val="Calibri"/>
    </font>
    <font>
      <b/>
      <sz val="14"/>
      <color rgb="FF000000"/>
      <name val="Calibri"/>
      <family val="2"/>
      <scheme val="minor"/>
    </font>
    <font>
      <b/>
      <i/>
      <sz val="12"/>
      <color rgb="FFA6A6A6"/>
      <name val="Calibri"/>
      <family val="2"/>
      <scheme val="minor"/>
    </font>
    <font>
      <b/>
      <sz val="12"/>
      <name val="Calibri"/>
      <family val="2"/>
      <scheme val="minor"/>
    </font>
  </fonts>
  <fills count="26">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rgb="FFFFFFFF"/>
        <bgColor indexed="64"/>
      </patternFill>
    </fill>
    <fill>
      <patternFill patternType="solid">
        <fgColor rgb="FFDDEBF7"/>
        <bgColor indexed="64"/>
      </patternFill>
    </fill>
    <fill>
      <patternFill patternType="solid">
        <fgColor rgb="FFFFF2CC"/>
        <bgColor indexed="64"/>
      </patternFill>
    </fill>
    <fill>
      <patternFill patternType="solid">
        <fgColor rgb="FF00B0F0"/>
        <bgColor indexed="64"/>
      </patternFill>
    </fill>
    <fill>
      <patternFill patternType="solid">
        <fgColor rgb="FFE7E6E6"/>
        <bgColor indexed="64"/>
      </patternFill>
    </fill>
    <fill>
      <patternFill patternType="solid">
        <fgColor rgb="FFE2EFDA"/>
        <bgColor indexed="64"/>
      </patternFill>
    </fill>
    <fill>
      <patternFill patternType="solid">
        <fgColor rgb="FFFF0000"/>
        <bgColor indexed="64"/>
      </patternFill>
    </fill>
    <fill>
      <patternFill patternType="solid">
        <fgColor rgb="FF4472C4"/>
        <bgColor indexed="64"/>
      </patternFill>
    </fill>
    <fill>
      <patternFill patternType="solid">
        <fgColor rgb="FFFF8C8C"/>
        <bgColor indexed="64"/>
      </patternFill>
    </fill>
    <fill>
      <patternFill patternType="solid">
        <fgColor rgb="FFA6A6A6"/>
        <bgColor indexed="64"/>
      </patternFill>
    </fill>
    <fill>
      <patternFill patternType="solid">
        <fgColor rgb="FFD9D9D9"/>
        <bgColor indexed="64"/>
      </patternFill>
    </fill>
    <fill>
      <patternFill patternType="solid">
        <fgColor rgb="FFA9D08E"/>
        <bgColor indexed="64"/>
      </patternFill>
    </fill>
    <fill>
      <patternFill patternType="solid">
        <fgColor rgb="FF548235"/>
        <bgColor indexed="64"/>
      </patternFill>
    </fill>
    <fill>
      <patternFill patternType="solid">
        <fgColor rgb="FFF8CBAD"/>
        <bgColor indexed="64"/>
      </patternFill>
    </fill>
    <fill>
      <patternFill patternType="solid">
        <fgColor rgb="FFBFBFBF"/>
        <bgColor indexed="64"/>
      </patternFill>
    </fill>
    <fill>
      <patternFill patternType="solid">
        <fgColor rgb="FF000000"/>
        <bgColor indexed="64"/>
      </patternFill>
    </fill>
    <fill>
      <patternFill patternType="solid">
        <fgColor rgb="FFD0CECE"/>
        <bgColor indexed="64"/>
      </patternFill>
    </fill>
    <fill>
      <patternFill patternType="solid">
        <fgColor rgb="FFA5A5A5"/>
        <bgColor indexed="64"/>
      </patternFill>
    </fill>
    <fill>
      <patternFill patternType="solid">
        <fgColor rgb="FF808080"/>
        <bgColor indexed="64"/>
      </patternFill>
    </fill>
    <fill>
      <patternFill patternType="solid">
        <fgColor rgb="FF44546A"/>
        <bgColor indexed="64"/>
      </patternFill>
    </fill>
    <fill>
      <patternFill patternType="solid">
        <fgColor rgb="FFDBDBDB"/>
        <bgColor indexed="64"/>
      </patternFill>
    </fill>
    <fill>
      <patternFill patternType="solid">
        <fgColor rgb="FFEDEDED"/>
        <bgColor indexed="64"/>
      </patternFill>
    </fill>
  </fills>
  <borders count="37">
    <border>
      <left/>
      <right/>
      <top/>
      <bottom/>
      <diagonal/>
    </border>
    <border>
      <left style="thin">
        <color indexed="64"/>
      </left>
      <right style="thin">
        <color indexed="64"/>
      </right>
      <top style="thin">
        <color indexed="64"/>
      </top>
      <bottom style="thin">
        <color indexed="64"/>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right style="medium">
        <color rgb="FF000000"/>
      </right>
      <top/>
      <bottom/>
      <diagonal/>
    </border>
    <border>
      <left/>
      <right/>
      <top/>
      <bottom style="medium">
        <color rgb="FF000000"/>
      </bottom>
      <diagonal/>
    </border>
    <border>
      <left/>
      <right style="medium">
        <color rgb="FF000000"/>
      </right>
      <top/>
      <bottom style="medium">
        <color rgb="FF000000"/>
      </bottom>
      <diagonal/>
    </border>
    <border>
      <left style="medium">
        <color rgb="FF000000"/>
      </left>
      <right/>
      <top/>
      <bottom/>
      <diagonal/>
    </border>
    <border>
      <left style="medium">
        <color rgb="FF000000"/>
      </left>
      <right/>
      <top/>
      <bottom style="medium">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style="medium">
        <color rgb="FF000000"/>
      </left>
      <right style="medium">
        <color rgb="FF000000"/>
      </right>
      <top style="medium">
        <color rgb="FF000000"/>
      </top>
      <bottom/>
      <diagonal/>
    </border>
    <border>
      <left style="medium">
        <color rgb="FF000000"/>
      </left>
      <right style="medium">
        <color rgb="FF000000"/>
      </right>
      <top/>
      <bottom/>
      <diagonal/>
    </border>
    <border>
      <left style="medium">
        <color rgb="FF000000"/>
      </left>
      <right style="medium">
        <color rgb="FF000000"/>
      </right>
      <top/>
      <bottom style="medium">
        <color rgb="FF000000"/>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dashed">
        <color rgb="FF000000"/>
      </left>
      <right style="dashed">
        <color rgb="FF000000"/>
      </right>
      <top style="dashed">
        <color rgb="FF000000"/>
      </top>
      <bottom/>
      <diagonal/>
    </border>
    <border>
      <left style="dashed">
        <color rgb="FF000000"/>
      </left>
      <right style="dashed">
        <color rgb="FF000000"/>
      </right>
      <top/>
      <bottom/>
      <diagonal/>
    </border>
    <border>
      <left style="dashed">
        <color rgb="FF000000"/>
      </left>
      <right style="dashed">
        <color rgb="FF000000"/>
      </right>
      <top/>
      <bottom style="dashed">
        <color rgb="FF000000"/>
      </bottom>
      <diagonal/>
    </border>
    <border>
      <left style="dashed">
        <color rgb="FF000000"/>
      </left>
      <right/>
      <top/>
      <bottom/>
      <diagonal/>
    </border>
    <border>
      <left style="dashed">
        <color rgb="FF000000"/>
      </left>
      <right/>
      <top/>
      <bottom style="dashed">
        <color rgb="FF000000"/>
      </bottom>
      <diagonal/>
    </border>
    <border>
      <left style="dashed">
        <color rgb="FF000000"/>
      </left>
      <right/>
      <top style="dashed">
        <color rgb="FF000000"/>
      </top>
      <bottom/>
      <diagonal/>
    </border>
    <border>
      <left style="thin">
        <color indexed="64"/>
      </left>
      <right/>
      <top style="thin">
        <color rgb="FF000000"/>
      </top>
      <bottom style="thin">
        <color rgb="FF000000"/>
      </bottom>
      <diagonal/>
    </border>
    <border>
      <left/>
      <right style="thin">
        <color indexed="64"/>
      </right>
      <top style="thin">
        <color rgb="FF000000"/>
      </top>
      <bottom style="thin">
        <color rgb="FF000000"/>
      </bottom>
      <diagonal/>
    </border>
    <border>
      <left style="medium">
        <color rgb="FF000000"/>
      </left>
      <right style="medium">
        <color rgb="FF000000"/>
      </right>
      <top style="medium">
        <color rgb="FF000000"/>
      </top>
      <bottom style="medium">
        <color rgb="FF000000"/>
      </bottom>
      <diagonal/>
    </border>
  </borders>
  <cellStyleXfs count="10">
    <xf numFmtId="0" fontId="0" fillId="0" borderId="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cellStyleXfs>
  <cellXfs count="427">
    <xf numFmtId="0" fontId="0" fillId="0" borderId="0" xfId="0"/>
    <xf numFmtId="0" fontId="2" fillId="0" borderId="0" xfId="0" applyFont="1" applyAlignment="1">
      <alignment horizontal="left" vertical="center" wrapText="1"/>
    </xf>
    <xf numFmtId="0" fontId="0" fillId="0" borderId="0" xfId="0" applyAlignment="1">
      <alignment horizontal="left" vertical="center" wrapText="1"/>
    </xf>
    <xf numFmtId="0" fontId="0" fillId="0" borderId="0" xfId="0" applyAlignment="1">
      <alignment horizontal="center" vertical="center" wrapText="1"/>
    </xf>
    <xf numFmtId="49" fontId="0" fillId="0" borderId="0" xfId="0" applyNumberFormat="1" applyAlignment="1">
      <alignment horizontal="left" vertical="center" wrapText="1"/>
    </xf>
    <xf numFmtId="49" fontId="5" fillId="0" borderId="0" xfId="0" applyNumberFormat="1" applyFont="1" applyAlignment="1">
      <alignment horizontal="left" vertical="center" wrapText="1"/>
    </xf>
    <xf numFmtId="0" fontId="5" fillId="0" borderId="0" xfId="0" applyFont="1" applyAlignment="1">
      <alignment horizontal="left" vertical="center" wrapText="1"/>
    </xf>
    <xf numFmtId="0" fontId="5" fillId="0" borderId="0" xfId="0" applyFont="1" applyAlignment="1">
      <alignment horizontal="center" vertical="center" wrapText="1"/>
    </xf>
    <xf numFmtId="0" fontId="1" fillId="3" borderId="0" xfId="0" applyFont="1" applyFill="1" applyAlignment="1">
      <alignment horizontal="center" vertical="center" wrapText="1"/>
    </xf>
    <xf numFmtId="49" fontId="1" fillId="3" borderId="0" xfId="0" applyNumberFormat="1" applyFont="1" applyFill="1" applyAlignment="1">
      <alignment horizontal="center" vertical="center" wrapText="1"/>
    </xf>
    <xf numFmtId="0" fontId="8" fillId="0" borderId="0" xfId="0" applyFont="1"/>
    <xf numFmtId="0" fontId="0" fillId="0" borderId="0" xfId="0" applyAlignment="1">
      <alignment wrapText="1"/>
    </xf>
    <xf numFmtId="2" fontId="9" fillId="0" borderId="0" xfId="0" applyNumberFormat="1" applyFont="1" applyAlignment="1">
      <alignment wrapText="1" readingOrder="1"/>
    </xf>
    <xf numFmtId="0" fontId="9" fillId="0" borderId="0" xfId="0" applyFont="1" applyAlignment="1">
      <alignment wrapText="1" readingOrder="1"/>
    </xf>
    <xf numFmtId="0" fontId="1" fillId="0" borderId="0" xfId="0" applyFont="1"/>
    <xf numFmtId="0" fontId="6" fillId="0" borderId="0" xfId="0" applyFont="1"/>
    <xf numFmtId="0" fontId="1" fillId="5" borderId="0" xfId="0" applyFont="1" applyFill="1"/>
    <xf numFmtId="0" fontId="0" fillId="5" borderId="0" xfId="0" applyFill="1"/>
    <xf numFmtId="0" fontId="11" fillId="0" borderId="0" xfId="0" applyFont="1"/>
    <xf numFmtId="0" fontId="1" fillId="0" borderId="0" xfId="0" applyFont="1" applyAlignment="1">
      <alignment wrapText="1"/>
    </xf>
    <xf numFmtId="0" fontId="0" fillId="6" borderId="0" xfId="0" applyFill="1"/>
    <xf numFmtId="0" fontId="13" fillId="0" borderId="0" xfId="0" applyFont="1" applyAlignment="1">
      <alignment horizontal="center" vertical="center" wrapText="1"/>
    </xf>
    <xf numFmtId="165" fontId="0" fillId="0" borderId="0" xfId="0" applyNumberFormat="1"/>
    <xf numFmtId="0" fontId="12" fillId="0" borderId="0" xfId="0" applyFont="1"/>
    <xf numFmtId="164" fontId="12" fillId="0" borderId="0" xfId="0" applyNumberFormat="1" applyFont="1"/>
    <xf numFmtId="1" fontId="12" fillId="0" borderId="0" xfId="0" applyNumberFormat="1" applyFont="1"/>
    <xf numFmtId="0" fontId="7" fillId="0" borderId="0" xfId="0" applyFont="1"/>
    <xf numFmtId="164" fontId="0" fillId="0" borderId="0" xfId="0" applyNumberFormat="1"/>
    <xf numFmtId="0" fontId="14" fillId="0" borderId="0" xfId="0" applyFont="1"/>
    <xf numFmtId="2" fontId="0" fillId="0" borderId="0" xfId="0" applyNumberFormat="1"/>
    <xf numFmtId="0" fontId="0" fillId="0" borderId="0" xfId="0" quotePrefix="1"/>
    <xf numFmtId="0" fontId="0" fillId="0" borderId="4" xfId="0" applyBorder="1"/>
    <xf numFmtId="0" fontId="0" fillId="0" borderId="8" xfId="0" applyBorder="1"/>
    <xf numFmtId="0" fontId="0" fillId="0" borderId="5" xfId="0" applyBorder="1"/>
    <xf numFmtId="0" fontId="0" fillId="0" borderId="0" xfId="0" applyAlignment="1">
      <alignment vertical="center"/>
    </xf>
    <xf numFmtId="0" fontId="8" fillId="0" borderId="0" xfId="0" applyFont="1" applyAlignment="1">
      <alignment horizontal="center" vertical="center" wrapText="1"/>
    </xf>
    <xf numFmtId="0" fontId="15" fillId="0" borderId="0" xfId="0" applyFont="1"/>
    <xf numFmtId="0" fontId="14" fillId="0" borderId="0" xfId="0" applyFont="1" applyAlignment="1">
      <alignment horizontal="left" vertical="center" wrapText="1"/>
    </xf>
    <xf numFmtId="2" fontId="0" fillId="0" borderId="0" xfId="0" applyNumberFormat="1" applyAlignment="1">
      <alignment horizontal="left" vertical="center" wrapText="1"/>
    </xf>
    <xf numFmtId="0" fontId="8" fillId="0" borderId="0" xfId="0" applyFont="1" applyAlignment="1">
      <alignment horizontal="left" vertical="center" wrapText="1"/>
    </xf>
    <xf numFmtId="0" fontId="14" fillId="4" borderId="0" xfId="0" applyFont="1" applyFill="1" applyAlignment="1">
      <alignment horizontal="left" vertical="center" wrapText="1"/>
    </xf>
    <xf numFmtId="0" fontId="5" fillId="4" borderId="0" xfId="0" applyFont="1" applyFill="1" applyAlignment="1">
      <alignment horizontal="center" vertical="center" wrapText="1"/>
    </xf>
    <xf numFmtId="0" fontId="0" fillId="4" borderId="0" xfId="0" applyFill="1" applyAlignment="1">
      <alignment horizontal="center" vertical="center" wrapText="1"/>
    </xf>
    <xf numFmtId="0" fontId="0" fillId="4" borderId="0" xfId="0" applyFill="1" applyAlignment="1">
      <alignment horizontal="left" vertical="center" wrapText="1"/>
    </xf>
    <xf numFmtId="0" fontId="0" fillId="11" borderId="0" xfId="0" applyFill="1"/>
    <xf numFmtId="0" fontId="17" fillId="11" borderId="0" xfId="0" applyFont="1" applyFill="1"/>
    <xf numFmtId="0" fontId="0" fillId="12" borderId="0" xfId="0" applyFill="1"/>
    <xf numFmtId="0" fontId="0" fillId="13" borderId="0" xfId="0" applyFill="1"/>
    <xf numFmtId="0" fontId="18" fillId="0" borderId="10" xfId="0" applyFont="1" applyBorder="1"/>
    <xf numFmtId="0" fontId="18" fillId="6" borderId="10" xfId="0" applyFont="1" applyFill="1" applyBorder="1"/>
    <xf numFmtId="0" fontId="18" fillId="12" borderId="10" xfId="0" applyFont="1" applyFill="1" applyBorder="1"/>
    <xf numFmtId="0" fontId="5" fillId="0" borderId="0" xfId="0" applyFont="1"/>
    <xf numFmtId="0" fontId="5" fillId="6" borderId="0" xfId="0" applyFont="1" applyFill="1"/>
    <xf numFmtId="0" fontId="5" fillId="12" borderId="0" xfId="0" applyFont="1" applyFill="1"/>
    <xf numFmtId="0" fontId="6" fillId="0" borderId="0" xfId="0" applyFont="1" applyAlignment="1">
      <alignment horizontal="right"/>
    </xf>
    <xf numFmtId="0" fontId="19" fillId="0" borderId="0" xfId="0" applyFont="1"/>
    <xf numFmtId="0" fontId="1" fillId="0" borderId="8" xfId="0" applyFont="1" applyBorder="1"/>
    <xf numFmtId="0" fontId="14" fillId="0" borderId="8" xfId="0" applyFont="1" applyBorder="1"/>
    <xf numFmtId="0" fontId="1" fillId="5" borderId="9" xfId="0" applyFont="1" applyFill="1" applyBorder="1"/>
    <xf numFmtId="164" fontId="0" fillId="5" borderId="6" xfId="0" applyNumberFormat="1" applyFill="1" applyBorder="1"/>
    <xf numFmtId="0" fontId="1" fillId="0" borderId="2" xfId="0" applyFont="1" applyBorder="1"/>
    <xf numFmtId="0" fontId="6" fillId="0" borderId="3" xfId="0" applyFont="1" applyBorder="1"/>
    <xf numFmtId="0" fontId="6" fillId="0" borderId="4" xfId="0" applyFont="1" applyBorder="1"/>
    <xf numFmtId="0" fontId="6" fillId="0" borderId="5" xfId="0" applyFont="1" applyBorder="1"/>
    <xf numFmtId="164" fontId="6" fillId="0" borderId="4" xfId="0" applyNumberFormat="1" applyFont="1" applyBorder="1"/>
    <xf numFmtId="164" fontId="6" fillId="0" borderId="5" xfId="0" applyNumberFormat="1" applyFont="1" applyBorder="1"/>
    <xf numFmtId="0" fontId="6" fillId="5" borderId="7" xfId="0" applyFont="1" applyFill="1" applyBorder="1"/>
    <xf numFmtId="0" fontId="6" fillId="0" borderId="5" xfId="0" applyFont="1" applyBorder="1" applyAlignment="1">
      <alignment vertical="center" wrapText="1"/>
    </xf>
    <xf numFmtId="0" fontId="1" fillId="0" borderId="8" xfId="0" applyFont="1" applyBorder="1" applyAlignment="1">
      <alignment vertical="center" wrapText="1"/>
    </xf>
    <xf numFmtId="0" fontId="1" fillId="0" borderId="8" xfId="0" applyFont="1" applyBorder="1" applyAlignment="1">
      <alignment wrapText="1"/>
    </xf>
    <xf numFmtId="0" fontId="8" fillId="0" borderId="8" xfId="0" applyFont="1" applyBorder="1"/>
    <xf numFmtId="0" fontId="7" fillId="0" borderId="0" xfId="0" applyFont="1" applyAlignment="1">
      <alignment vertical="center" wrapText="1"/>
    </xf>
    <xf numFmtId="49" fontId="0" fillId="4" borderId="0" xfId="0" applyNumberFormat="1" applyFill="1" applyAlignment="1">
      <alignment horizontal="left" vertical="center" wrapText="1"/>
    </xf>
    <xf numFmtId="49" fontId="0" fillId="4" borderId="0" xfId="0" applyNumberFormat="1" applyFill="1" applyAlignment="1">
      <alignment horizontal="center" vertical="center" wrapText="1"/>
    </xf>
    <xf numFmtId="49" fontId="5" fillId="4" borderId="0" xfId="0" applyNumberFormat="1" applyFont="1" applyFill="1" applyAlignment="1">
      <alignment horizontal="left" vertical="center" wrapText="1"/>
    </xf>
    <xf numFmtId="0" fontId="20" fillId="15" borderId="1" xfId="0" applyFont="1" applyFill="1" applyBorder="1" applyAlignment="1">
      <alignment horizontal="center" vertical="center" wrapText="1"/>
    </xf>
    <xf numFmtId="49" fontId="20" fillId="15" borderId="1" xfId="0" applyNumberFormat="1" applyFont="1" applyFill="1" applyBorder="1" applyAlignment="1">
      <alignment horizontal="center" vertical="center" wrapText="1"/>
    </xf>
    <xf numFmtId="0" fontId="6" fillId="9" borderId="10" xfId="0" applyFont="1" applyFill="1" applyBorder="1" applyAlignment="1">
      <alignment horizontal="center" vertical="center" wrapText="1"/>
    </xf>
    <xf numFmtId="0" fontId="0" fillId="0" borderId="0" xfId="0" applyAlignment="1">
      <alignment horizontal="right" vertical="center" wrapText="1"/>
    </xf>
    <xf numFmtId="0" fontId="5" fillId="0" borderId="0" xfId="0" applyFont="1" applyAlignment="1">
      <alignment horizontal="right" vertical="center" wrapText="1"/>
    </xf>
    <xf numFmtId="0" fontId="8" fillId="0" borderId="0" xfId="0" applyFont="1" applyAlignment="1">
      <alignment horizontal="right" vertical="center" wrapText="1"/>
    </xf>
    <xf numFmtId="0" fontId="0" fillId="0" borderId="0" xfId="0" applyAlignment="1">
      <alignment horizontal="center" vertical="center"/>
    </xf>
    <xf numFmtId="0" fontId="0" fillId="3" borderId="0" xfId="0" applyFill="1"/>
    <xf numFmtId="0" fontId="5" fillId="0" borderId="0" xfId="0" applyFont="1" applyAlignment="1">
      <alignment horizontal="center" vertical="center"/>
    </xf>
    <xf numFmtId="0" fontId="3" fillId="0" borderId="0" xfId="9" applyAlignment="1"/>
    <xf numFmtId="0" fontId="3" fillId="0" borderId="0" xfId="9" applyAlignment="1">
      <alignment vertical="center"/>
    </xf>
    <xf numFmtId="0" fontId="1" fillId="0" borderId="0" xfId="0" applyFont="1" applyAlignment="1">
      <alignment horizontal="left" vertical="center" wrapText="1"/>
    </xf>
    <xf numFmtId="0" fontId="0" fillId="3" borderId="0" xfId="0" applyFill="1" applyAlignment="1">
      <alignment wrapText="1"/>
    </xf>
    <xf numFmtId="0" fontId="21" fillId="0" borderId="0" xfId="0" applyFont="1" applyAlignment="1">
      <alignment horizontal="center" vertical="center" wrapText="1"/>
    </xf>
    <xf numFmtId="0" fontId="0" fillId="3" borderId="0" xfId="0" applyFill="1" applyAlignment="1">
      <alignment horizontal="center" vertical="center" wrapText="1"/>
    </xf>
    <xf numFmtId="0" fontId="5" fillId="3" borderId="0" xfId="0" applyFont="1" applyFill="1" applyAlignment="1">
      <alignment horizontal="center" vertical="center" wrapText="1"/>
    </xf>
    <xf numFmtId="0" fontId="7" fillId="0" borderId="0" xfId="0" applyFont="1" applyAlignment="1">
      <alignment horizontal="center" vertical="center" wrapText="1"/>
    </xf>
    <xf numFmtId="0" fontId="1" fillId="0" borderId="0" xfId="0" applyFont="1" applyAlignment="1">
      <alignment horizontal="left" vertical="top" wrapText="1"/>
    </xf>
    <xf numFmtId="0" fontId="16" fillId="5" borderId="0" xfId="0" applyFont="1" applyFill="1" applyAlignment="1">
      <alignment horizontal="center" wrapText="1"/>
    </xf>
    <xf numFmtId="0" fontId="16" fillId="0" borderId="0" xfId="0" applyFont="1" applyAlignment="1">
      <alignment horizontal="center" wrapText="1"/>
    </xf>
    <xf numFmtId="0" fontId="23" fillId="0" borderId="0" xfId="0" applyFont="1" applyAlignment="1">
      <alignment horizontal="center" wrapText="1"/>
    </xf>
    <xf numFmtId="0" fontId="24" fillId="11" borderId="0" xfId="0" applyFont="1" applyFill="1" applyAlignment="1">
      <alignment horizontal="center" wrapText="1"/>
    </xf>
    <xf numFmtId="0" fontId="0" fillId="0" borderId="16" xfId="0" applyBorder="1"/>
    <xf numFmtId="0" fontId="0" fillId="0" borderId="17" xfId="0" applyBorder="1"/>
    <xf numFmtId="2" fontId="9" fillId="0" borderId="21" xfId="0" applyNumberFormat="1" applyFont="1" applyBorder="1" applyAlignment="1">
      <alignment horizontal="right" wrapText="1" readingOrder="1"/>
    </xf>
    <xf numFmtId="2" fontId="9" fillId="0" borderId="0" xfId="0" applyNumberFormat="1" applyFont="1" applyAlignment="1">
      <alignment horizontal="right" wrapText="1" readingOrder="1"/>
    </xf>
    <xf numFmtId="1" fontId="9" fillId="0" borderId="0" xfId="0" applyNumberFormat="1" applyFont="1" applyAlignment="1">
      <alignment wrapText="1" readingOrder="1"/>
    </xf>
    <xf numFmtId="1" fontId="9" fillId="0" borderId="22" xfId="0" applyNumberFormat="1" applyFont="1" applyBorder="1" applyAlignment="1">
      <alignment wrapText="1" readingOrder="1"/>
    </xf>
    <xf numFmtId="0" fontId="0" fillId="0" borderId="22" xfId="0" applyBorder="1" applyAlignment="1">
      <alignment horizontal="left" vertical="center" wrapText="1"/>
    </xf>
    <xf numFmtId="2" fontId="0" fillId="0" borderId="21" xfId="0" applyNumberFormat="1" applyBorder="1" applyAlignment="1">
      <alignment horizontal="left" vertical="center" wrapText="1"/>
    </xf>
    <xf numFmtId="1" fontId="0" fillId="0" borderId="0" xfId="0" applyNumberFormat="1" applyAlignment="1">
      <alignment horizontal="left" vertical="center" wrapText="1"/>
    </xf>
    <xf numFmtId="2" fontId="0" fillId="0" borderId="23" xfId="0" applyNumberFormat="1" applyBorder="1" applyAlignment="1">
      <alignment horizontal="left" vertical="center" wrapText="1"/>
    </xf>
    <xf numFmtId="2" fontId="0" fillId="0" borderId="24" xfId="0" applyNumberFormat="1" applyBorder="1" applyAlignment="1">
      <alignment horizontal="left" vertical="center" wrapText="1"/>
    </xf>
    <xf numFmtId="0" fontId="0" fillId="0" borderId="24" xfId="0" applyBorder="1" applyAlignment="1">
      <alignment horizontal="left" vertical="center" wrapText="1"/>
    </xf>
    <xf numFmtId="1" fontId="0" fillId="0" borderId="24" xfId="0" applyNumberFormat="1" applyBorder="1" applyAlignment="1">
      <alignment horizontal="left" vertical="center" wrapText="1"/>
    </xf>
    <xf numFmtId="0" fontId="0" fillId="0" borderId="25" xfId="0" applyBorder="1" applyAlignment="1">
      <alignment horizontal="left" vertical="center" wrapText="1"/>
    </xf>
    <xf numFmtId="2" fontId="9" fillId="0" borderId="21" xfId="0" applyNumberFormat="1" applyFont="1" applyBorder="1" applyAlignment="1">
      <alignment wrapText="1" readingOrder="1"/>
    </xf>
    <xf numFmtId="1" fontId="0" fillId="0" borderId="22" xfId="0" applyNumberFormat="1" applyBorder="1" applyAlignment="1">
      <alignment horizontal="left" vertical="center" wrapText="1"/>
    </xf>
    <xf numFmtId="0" fontId="0" fillId="0" borderId="19" xfId="0" applyBorder="1"/>
    <xf numFmtId="0" fontId="0" fillId="0" borderId="21" xfId="0" applyBorder="1"/>
    <xf numFmtId="164" fontId="0" fillId="0" borderId="22" xfId="0" applyNumberFormat="1" applyBorder="1"/>
    <xf numFmtId="0" fontId="0" fillId="0" borderId="24" xfId="0" applyBorder="1"/>
    <xf numFmtId="0" fontId="0" fillId="0" borderId="14" xfId="0" applyBorder="1"/>
    <xf numFmtId="0" fontId="0" fillId="0" borderId="26" xfId="0" applyBorder="1"/>
    <xf numFmtId="0" fontId="0" fillId="0" borderId="27" xfId="0" applyBorder="1"/>
    <xf numFmtId="0" fontId="0" fillId="0" borderId="10" xfId="0" applyBorder="1"/>
    <xf numFmtId="164" fontId="0" fillId="0" borderId="12" xfId="0" applyNumberFormat="1" applyBorder="1"/>
    <xf numFmtId="164" fontId="0" fillId="0" borderId="13" xfId="0" applyNumberFormat="1" applyBorder="1"/>
    <xf numFmtId="2" fontId="0" fillId="0" borderId="22" xfId="0" applyNumberFormat="1" applyBorder="1"/>
    <xf numFmtId="2" fontId="0" fillId="0" borderId="24" xfId="0" applyNumberFormat="1" applyBorder="1"/>
    <xf numFmtId="2" fontId="0" fillId="0" borderId="25" xfId="0" applyNumberFormat="1" applyBorder="1"/>
    <xf numFmtId="2" fontId="0" fillId="0" borderId="19" xfId="0" applyNumberFormat="1" applyBorder="1"/>
    <xf numFmtId="2" fontId="0" fillId="0" borderId="20" xfId="0" applyNumberFormat="1" applyBorder="1"/>
    <xf numFmtId="0" fontId="9" fillId="0" borderId="0" xfId="0" applyFont="1" applyAlignment="1">
      <alignment readingOrder="1"/>
    </xf>
    <xf numFmtId="0" fontId="9" fillId="0" borderId="19" xfId="0" applyFont="1" applyBorder="1" applyAlignment="1">
      <alignment readingOrder="1"/>
    </xf>
    <xf numFmtId="0" fontId="0" fillId="0" borderId="19" xfId="0" applyBorder="1" applyAlignment="1">
      <alignment vertical="center"/>
    </xf>
    <xf numFmtId="0" fontId="9" fillId="0" borderId="24" xfId="0" applyFont="1" applyBorder="1" applyAlignment="1">
      <alignment readingOrder="1"/>
    </xf>
    <xf numFmtId="0" fontId="0" fillId="18" borderId="0" xfId="0" applyFill="1" applyAlignment="1">
      <alignment horizontal="left" vertical="center" wrapText="1"/>
    </xf>
    <xf numFmtId="0" fontId="0" fillId="18" borderId="0" xfId="0" applyFill="1" applyAlignment="1">
      <alignment horizontal="center" vertical="center" wrapText="1"/>
    </xf>
    <xf numFmtId="49" fontId="0" fillId="18" borderId="0" xfId="0" applyNumberFormat="1" applyFill="1" applyAlignment="1">
      <alignment horizontal="left" vertical="center" wrapText="1"/>
    </xf>
    <xf numFmtId="164" fontId="25" fillId="0" borderId="0" xfId="0" applyNumberFormat="1" applyFont="1"/>
    <xf numFmtId="165" fontId="9" fillId="0" borderId="0" xfId="0" applyNumberFormat="1" applyFont="1" applyAlignment="1">
      <alignment wrapText="1" readingOrder="1"/>
    </xf>
    <xf numFmtId="0" fontId="27" fillId="0" borderId="0" xfId="0" applyFont="1" applyAlignment="1">
      <alignment horizontal="right"/>
    </xf>
    <xf numFmtId="2" fontId="27" fillId="0" borderId="0" xfId="0" applyNumberFormat="1" applyFont="1"/>
    <xf numFmtId="0" fontId="0" fillId="0" borderId="21" xfId="0" applyBorder="1" applyAlignment="1">
      <alignment wrapText="1"/>
    </xf>
    <xf numFmtId="0" fontId="0" fillId="0" borderId="22" xfId="0" applyBorder="1" applyAlignment="1">
      <alignment wrapText="1"/>
    </xf>
    <xf numFmtId="0" fontId="0" fillId="0" borderId="23" xfId="0" applyBorder="1" applyAlignment="1">
      <alignment wrapText="1"/>
    </xf>
    <xf numFmtId="0" fontId="0" fillId="0" borderId="24" xfId="0" applyBorder="1" applyAlignment="1">
      <alignment wrapText="1"/>
    </xf>
    <xf numFmtId="0" fontId="0" fillId="0" borderId="25" xfId="0" applyBorder="1" applyAlignment="1">
      <alignment wrapText="1"/>
    </xf>
    <xf numFmtId="0" fontId="9" fillId="0" borderId="0" xfId="0" applyFont="1" applyAlignment="1">
      <alignment wrapText="1"/>
    </xf>
    <xf numFmtId="0" fontId="9" fillId="0" borderId="21" xfId="0" applyFont="1" applyBorder="1"/>
    <xf numFmtId="0" fontId="28" fillId="0" borderId="22" xfId="0" applyFont="1" applyBorder="1" applyAlignment="1">
      <alignment horizontal="left" vertical="center" wrapText="1"/>
    </xf>
    <xf numFmtId="0" fontId="29" fillId="0" borderId="21" xfId="0" applyFont="1" applyBorder="1" applyAlignment="1">
      <alignment readingOrder="1"/>
    </xf>
    <xf numFmtId="0" fontId="29" fillId="0" borderId="23" xfId="0" applyFont="1" applyBorder="1" applyAlignment="1">
      <alignment readingOrder="1"/>
    </xf>
    <xf numFmtId="1" fontId="0" fillId="0" borderId="10" xfId="0" applyNumberFormat="1" applyBorder="1"/>
    <xf numFmtId="0" fontId="0" fillId="0" borderId="11" xfId="0" applyBorder="1"/>
    <xf numFmtId="0" fontId="30" fillId="0" borderId="0" xfId="0" applyFont="1" applyAlignment="1">
      <alignment wrapText="1"/>
    </xf>
    <xf numFmtId="0" fontId="30" fillId="5" borderId="0" xfId="0" applyFont="1" applyFill="1" applyAlignment="1">
      <alignment wrapText="1"/>
    </xf>
    <xf numFmtId="0" fontId="6" fillId="5" borderId="0" xfId="0" applyFont="1" applyFill="1"/>
    <xf numFmtId="0" fontId="6" fillId="0" borderId="0" xfId="0" applyFont="1" applyAlignment="1">
      <alignment vertical="center"/>
    </xf>
    <xf numFmtId="2" fontId="15" fillId="0" borderId="0" xfId="0" applyNumberFormat="1" applyFont="1"/>
    <xf numFmtId="2" fontId="15" fillId="0" borderId="16" xfId="0" applyNumberFormat="1" applyFont="1" applyBorder="1"/>
    <xf numFmtId="2" fontId="15" fillId="0" borderId="18" xfId="0" applyNumberFormat="1" applyFont="1" applyBorder="1"/>
    <xf numFmtId="2" fontId="15" fillId="0" borderId="17" xfId="0" applyNumberFormat="1" applyFont="1" applyBorder="1"/>
    <xf numFmtId="2" fontId="15" fillId="0" borderId="2" xfId="0" applyNumberFormat="1" applyFont="1" applyBorder="1"/>
    <xf numFmtId="2" fontId="15" fillId="0" borderId="9" xfId="0" applyNumberFormat="1" applyFont="1" applyBorder="1"/>
    <xf numFmtId="2" fontId="15" fillId="0" borderId="8" xfId="0" applyNumberFormat="1" applyFont="1" applyBorder="1"/>
    <xf numFmtId="2" fontId="31" fillId="0" borderId="0" xfId="0" applyNumberFormat="1" applyFont="1"/>
    <xf numFmtId="0" fontId="15" fillId="0" borderId="16" xfId="0" applyFont="1" applyBorder="1"/>
    <xf numFmtId="0" fontId="15" fillId="0" borderId="18" xfId="0" applyFont="1" applyBorder="1"/>
    <xf numFmtId="0" fontId="15" fillId="0" borderId="17" xfId="0" applyFont="1" applyBorder="1"/>
    <xf numFmtId="0" fontId="0" fillId="0" borderId="18" xfId="0" applyBorder="1"/>
    <xf numFmtId="0" fontId="3" fillId="0" borderId="0" xfId="9"/>
    <xf numFmtId="0" fontId="26" fillId="0" borderId="19" xfId="0" applyFont="1" applyBorder="1" applyAlignment="1">
      <alignment readingOrder="1"/>
    </xf>
    <xf numFmtId="0" fontId="26" fillId="0" borderId="0" xfId="0" applyFont="1" applyAlignment="1">
      <alignment readingOrder="1"/>
    </xf>
    <xf numFmtId="1" fontId="32" fillId="0" borderId="19" xfId="0" applyNumberFormat="1" applyFont="1" applyBorder="1"/>
    <xf numFmtId="1" fontId="32" fillId="0" borderId="0" xfId="0" applyNumberFormat="1" applyFont="1"/>
    <xf numFmtId="1" fontId="32" fillId="0" borderId="24" xfId="0" applyNumberFormat="1" applyFont="1" applyBorder="1"/>
    <xf numFmtId="0" fontId="33" fillId="0" borderId="0" xfId="0" applyFont="1" applyAlignment="1">
      <alignment readingOrder="1"/>
    </xf>
    <xf numFmtId="0" fontId="5" fillId="0" borderId="24" xfId="0" applyFont="1" applyBorder="1"/>
    <xf numFmtId="0" fontId="0" fillId="0" borderId="20" xfId="0" applyBorder="1" applyAlignment="1">
      <alignment vertical="center"/>
    </xf>
    <xf numFmtId="0" fontId="0" fillId="0" borderId="22" xfId="0" applyBorder="1" applyAlignment="1">
      <alignment vertical="center"/>
    </xf>
    <xf numFmtId="0" fontId="0" fillId="0" borderId="24" xfId="0" applyBorder="1" applyAlignment="1">
      <alignment vertical="center"/>
    </xf>
    <xf numFmtId="0" fontId="0" fillId="0" borderId="25" xfId="0" applyBorder="1" applyAlignment="1">
      <alignment vertical="center"/>
    </xf>
    <xf numFmtId="2" fontId="9" fillId="0" borderId="19" xfId="0" applyNumberFormat="1" applyFont="1" applyBorder="1" applyAlignment="1">
      <alignment readingOrder="1"/>
    </xf>
    <xf numFmtId="2" fontId="9" fillId="0" borderId="0" xfId="0" applyNumberFormat="1" applyFont="1" applyAlignment="1">
      <alignment readingOrder="1"/>
    </xf>
    <xf numFmtId="2" fontId="9" fillId="0" borderId="6" xfId="0" applyNumberFormat="1" applyFont="1" applyBorder="1" applyAlignment="1">
      <alignment readingOrder="1"/>
    </xf>
    <xf numFmtId="0" fontId="34" fillId="0" borderId="0" xfId="0" applyFont="1"/>
    <xf numFmtId="0" fontId="35" fillId="0" borderId="0" xfId="0" applyFont="1"/>
    <xf numFmtId="0" fontId="36" fillId="0" borderId="0" xfId="0" applyFont="1"/>
    <xf numFmtId="0" fontId="37" fillId="0" borderId="0" xfId="0" applyFont="1"/>
    <xf numFmtId="166" fontId="0" fillId="0" borderId="0" xfId="0" applyNumberFormat="1"/>
    <xf numFmtId="0" fontId="0" fillId="0" borderId="0" xfId="0" applyAlignment="1">
      <alignment horizontal="center" vertical="top" wrapText="1"/>
    </xf>
    <xf numFmtId="0" fontId="0" fillId="21" borderId="0" xfId="0" applyFill="1"/>
    <xf numFmtId="1" fontId="0" fillId="0" borderId="0" xfId="0" applyNumberFormat="1" applyAlignment="1">
      <alignment horizontal="right" vertical="center" wrapText="1"/>
    </xf>
    <xf numFmtId="2" fontId="0" fillId="0" borderId="0" xfId="0" applyNumberFormat="1" applyAlignment="1">
      <alignment horizontal="right" vertical="center" wrapText="1"/>
    </xf>
    <xf numFmtId="0" fontId="1" fillId="2" borderId="0" xfId="0" applyFont="1" applyFill="1" applyAlignment="1">
      <alignment horizontal="left" vertical="top" wrapText="1"/>
    </xf>
    <xf numFmtId="0" fontId="38" fillId="0" borderId="0" xfId="0" applyFont="1"/>
    <xf numFmtId="0" fontId="0" fillId="0" borderId="6" xfId="0" applyBorder="1"/>
    <xf numFmtId="164" fontId="5" fillId="0" borderId="0" xfId="0" applyNumberFormat="1" applyFont="1" applyAlignment="1">
      <alignment horizontal="left" vertical="center" wrapText="1"/>
    </xf>
    <xf numFmtId="9" fontId="0" fillId="0" borderId="0" xfId="0" applyNumberFormat="1"/>
    <xf numFmtId="0" fontId="16" fillId="0" borderId="0" xfId="0" applyFont="1" applyAlignment="1">
      <alignment wrapText="1"/>
    </xf>
    <xf numFmtId="0" fontId="17" fillId="10" borderId="0" xfId="0" applyFont="1" applyFill="1" applyAlignment="1">
      <alignment wrapText="1"/>
    </xf>
    <xf numFmtId="9" fontId="0" fillId="0" borderId="0" xfId="0" applyNumberFormat="1" applyAlignment="1">
      <alignment wrapText="1"/>
    </xf>
    <xf numFmtId="2" fontId="1" fillId="5" borderId="0" xfId="0" applyNumberFormat="1" applyFont="1" applyFill="1"/>
    <xf numFmtId="0" fontId="0" fillId="0" borderId="28" xfId="0" applyBorder="1"/>
    <xf numFmtId="0" fontId="0" fillId="0" borderId="29" xfId="0" applyBorder="1"/>
    <xf numFmtId="0" fontId="0" fillId="6" borderId="29" xfId="0" applyFill="1" applyBorder="1"/>
    <xf numFmtId="0" fontId="0" fillId="6" borderId="28" xfId="0" applyFill="1" applyBorder="1"/>
    <xf numFmtId="0" fontId="0" fillId="12" borderId="29" xfId="0" applyFill="1" applyBorder="1"/>
    <xf numFmtId="0" fontId="0" fillId="12" borderId="30" xfId="0" applyFill="1" applyBorder="1"/>
    <xf numFmtId="0" fontId="0" fillId="0" borderId="31" xfId="0" applyBorder="1"/>
    <xf numFmtId="0" fontId="0" fillId="6" borderId="31" xfId="0" applyFill="1" applyBorder="1"/>
    <xf numFmtId="0" fontId="0" fillId="6" borderId="32" xfId="0" applyFill="1" applyBorder="1"/>
    <xf numFmtId="0" fontId="0" fillId="0" borderId="9" xfId="0" applyBorder="1"/>
    <xf numFmtId="0" fontId="0" fillId="0" borderId="7" xfId="0" applyBorder="1"/>
    <xf numFmtId="0" fontId="17" fillId="11" borderId="0" xfId="0" applyFont="1" applyFill="1" applyAlignment="1">
      <alignment horizontal="left" vertical="top"/>
    </xf>
    <xf numFmtId="0" fontId="0" fillId="0" borderId="33" xfId="0" applyBorder="1"/>
    <xf numFmtId="0" fontId="0" fillId="12" borderId="31" xfId="0" applyFill="1" applyBorder="1"/>
    <xf numFmtId="0" fontId="0" fillId="12" borderId="32" xfId="0" applyFill="1" applyBorder="1"/>
    <xf numFmtId="0" fontId="0" fillId="20" borderId="0" xfId="0" applyFill="1"/>
    <xf numFmtId="0" fontId="0" fillId="22" borderId="0" xfId="0" applyFill="1"/>
    <xf numFmtId="2" fontId="0" fillId="20" borderId="0" xfId="0" applyNumberFormat="1" applyFill="1"/>
    <xf numFmtId="0" fontId="25" fillId="0" borderId="0" xfId="0" applyFont="1"/>
    <xf numFmtId="0" fontId="0" fillId="0" borderId="0" xfId="0" applyAlignment="1">
      <alignment horizontal="right"/>
    </xf>
    <xf numFmtId="164" fontId="0" fillId="0" borderId="0" xfId="0" applyNumberFormat="1" applyAlignment="1">
      <alignment horizontal="right" vertical="center" wrapText="1"/>
    </xf>
    <xf numFmtId="0" fontId="40" fillId="0" borderId="0" xfId="0" applyFont="1" applyAlignment="1">
      <alignment horizontal="left" vertical="top" wrapText="1"/>
    </xf>
    <xf numFmtId="1" fontId="41" fillId="0" borderId="0" xfId="0" applyNumberFormat="1" applyFont="1" applyAlignment="1">
      <alignment horizontal="right" vertical="center" wrapText="1"/>
    </xf>
    <xf numFmtId="0" fontId="42" fillId="0" borderId="0" xfId="0" applyFont="1" applyAlignment="1">
      <alignment vertical="center"/>
    </xf>
    <xf numFmtId="0" fontId="1" fillId="0" borderId="0" xfId="0" applyFont="1" applyAlignment="1">
      <alignment horizontal="center" wrapText="1"/>
    </xf>
    <xf numFmtId="0" fontId="5" fillId="0" borderId="0" xfId="0" applyFont="1" applyAlignment="1">
      <alignment wrapText="1"/>
    </xf>
    <xf numFmtId="0" fontId="30" fillId="0" borderId="0" xfId="0" applyFont="1" applyAlignment="1">
      <alignment horizontal="left" vertical="center" wrapText="1"/>
    </xf>
    <xf numFmtId="2" fontId="25" fillId="0" borderId="0" xfId="0" applyNumberFormat="1" applyFont="1"/>
    <xf numFmtId="0" fontId="0" fillId="22" borderId="0" xfId="0" applyFill="1" applyAlignment="1">
      <alignment wrapText="1"/>
    </xf>
    <xf numFmtId="0" fontId="0" fillId="14" borderId="0" xfId="0" applyFill="1"/>
    <xf numFmtId="0" fontId="43" fillId="0" borderId="0" xfId="0" applyFont="1"/>
    <xf numFmtId="0" fontId="44" fillId="0" borderId="0" xfId="0" applyFont="1"/>
    <xf numFmtId="164" fontId="44" fillId="0" borderId="0" xfId="0" applyNumberFormat="1" applyFont="1"/>
    <xf numFmtId="0" fontId="41" fillId="0" borderId="0" xfId="0" applyFont="1"/>
    <xf numFmtId="0" fontId="43" fillId="0" borderId="0" xfId="0" applyFont="1" applyAlignment="1">
      <alignment wrapText="1"/>
    </xf>
    <xf numFmtId="0" fontId="1" fillId="21" borderId="0" xfId="0" applyFont="1" applyFill="1" applyAlignment="1">
      <alignment horizontal="center"/>
    </xf>
    <xf numFmtId="0" fontId="1" fillId="21" borderId="0" xfId="0" applyFont="1" applyFill="1" applyAlignment="1">
      <alignment horizontal="center" wrapText="1"/>
    </xf>
    <xf numFmtId="0" fontId="17" fillId="23" borderId="0" xfId="0" applyFont="1" applyFill="1"/>
    <xf numFmtId="0" fontId="45" fillId="0" borderId="0" xfId="0" applyFont="1"/>
    <xf numFmtId="0" fontId="1" fillId="21" borderId="0" xfId="0" applyFont="1" applyFill="1"/>
    <xf numFmtId="0" fontId="14" fillId="21" borderId="0" xfId="0" applyFont="1" applyFill="1"/>
    <xf numFmtId="164" fontId="1" fillId="5" borderId="0" xfId="0" applyNumberFormat="1" applyFont="1" applyFill="1"/>
    <xf numFmtId="0" fontId="1" fillId="21" borderId="0" xfId="0" applyFont="1" applyFill="1" applyAlignment="1">
      <alignment wrapText="1"/>
    </xf>
    <xf numFmtId="0" fontId="3" fillId="0" borderId="0" xfId="9" applyAlignment="1"/>
    <xf numFmtId="49" fontId="47" fillId="19" borderId="1" xfId="0" applyNumberFormat="1" applyFont="1" applyFill="1" applyBorder="1" applyAlignment="1">
      <alignment horizontal="center" vertical="center" wrapText="1"/>
    </xf>
    <xf numFmtId="0" fontId="1" fillId="5" borderId="0" xfId="0" applyFont="1" applyFill="1" applyAlignment="1">
      <alignment horizontal="left" vertical="top" wrapText="1"/>
    </xf>
    <xf numFmtId="2" fontId="0" fillId="5" borderId="0" xfId="0" applyNumberFormat="1" applyFill="1" applyAlignment="1">
      <alignment horizontal="right" vertical="center" wrapText="1"/>
    </xf>
    <xf numFmtId="0" fontId="6" fillId="5" borderId="0" xfId="0" applyFont="1" applyFill="1" applyAlignment="1">
      <alignment vertical="center"/>
    </xf>
    <xf numFmtId="0" fontId="0" fillId="21" borderId="0" xfId="0" applyFill="1" applyAlignment="1">
      <alignment horizontal="center" vertical="center" wrapText="1"/>
    </xf>
    <xf numFmtId="0" fontId="1" fillId="21" borderId="0" xfId="0" applyFont="1" applyFill="1" applyAlignment="1">
      <alignment horizontal="center" vertical="center" wrapText="1"/>
    </xf>
    <xf numFmtId="0" fontId="1" fillId="0" borderId="0" xfId="0" applyFont="1" applyAlignment="1">
      <alignment horizontal="center" vertical="center" wrapText="1"/>
    </xf>
    <xf numFmtId="0" fontId="6" fillId="21" borderId="0" xfId="0" applyFont="1" applyFill="1"/>
    <xf numFmtId="2" fontId="0" fillId="5" borderId="0" xfId="0" applyNumberFormat="1" applyFill="1"/>
    <xf numFmtId="0" fontId="30" fillId="21" borderId="0" xfId="0" applyFont="1" applyFill="1"/>
    <xf numFmtId="0" fontId="48" fillId="21" borderId="0" xfId="0" applyFont="1" applyFill="1"/>
    <xf numFmtId="0" fontId="30" fillId="0" borderId="0" xfId="0" applyFont="1"/>
    <xf numFmtId="0" fontId="49" fillId="21" borderId="0" xfId="0" applyFont="1" applyFill="1"/>
    <xf numFmtId="0" fontId="49" fillId="21" borderId="0" xfId="0" applyFont="1" applyFill="1" applyAlignment="1">
      <alignment wrapText="1"/>
    </xf>
    <xf numFmtId="0" fontId="50" fillId="21" borderId="0" xfId="0" applyFont="1" applyFill="1" applyAlignment="1">
      <alignment wrapText="1"/>
    </xf>
    <xf numFmtId="0" fontId="51" fillId="0" borderId="0" xfId="0" applyFont="1"/>
    <xf numFmtId="0" fontId="1" fillId="21" borderId="0" xfId="0" applyFont="1" applyFill="1" applyAlignment="1">
      <alignment horizontal="center" vertical="center"/>
    </xf>
    <xf numFmtId="0" fontId="52" fillId="21" borderId="14" xfId="0" applyFont="1" applyFill="1" applyBorder="1" applyAlignment="1">
      <alignment readingOrder="1"/>
    </xf>
    <xf numFmtId="0" fontId="52" fillId="21" borderId="19" xfId="0" applyFont="1" applyFill="1" applyBorder="1" applyAlignment="1">
      <alignment readingOrder="1"/>
    </xf>
    <xf numFmtId="0" fontId="53" fillId="21" borderId="19" xfId="0" applyFont="1" applyFill="1" applyBorder="1"/>
    <xf numFmtId="0" fontId="1" fillId="21" borderId="19" xfId="0" applyFont="1" applyFill="1" applyBorder="1" applyAlignment="1">
      <alignment vertical="center"/>
    </xf>
    <xf numFmtId="0" fontId="1" fillId="21" borderId="20" xfId="0" applyFont="1" applyFill="1" applyBorder="1"/>
    <xf numFmtId="0" fontId="52" fillId="0" borderId="14" xfId="0" applyFont="1" applyBorder="1" applyAlignment="1">
      <alignment readingOrder="1"/>
    </xf>
    <xf numFmtId="0" fontId="52" fillId="0" borderId="26" xfId="0" applyFont="1" applyBorder="1" applyAlignment="1">
      <alignment readingOrder="1"/>
    </xf>
    <xf numFmtId="0" fontId="1" fillId="0" borderId="27" xfId="0" applyFont="1" applyBorder="1"/>
    <xf numFmtId="0" fontId="30" fillId="9" borderId="19" xfId="0" applyFont="1" applyFill="1" applyBorder="1" applyAlignment="1">
      <alignment horizontal="center" vertical="center" wrapText="1"/>
    </xf>
    <xf numFmtId="0" fontId="30" fillId="9" borderId="0" xfId="0" applyFont="1" applyFill="1" applyAlignment="1">
      <alignment horizontal="center" vertical="center" wrapText="1"/>
    </xf>
    <xf numFmtId="0" fontId="54" fillId="9" borderId="19" xfId="0" applyFont="1" applyFill="1" applyBorder="1" applyAlignment="1">
      <alignment horizontal="right" vertical="center" wrapText="1"/>
    </xf>
    <xf numFmtId="0" fontId="54" fillId="9" borderId="15" xfId="0" applyFont="1" applyFill="1" applyBorder="1" applyAlignment="1">
      <alignment horizontal="right" vertical="center" wrapText="1"/>
    </xf>
    <xf numFmtId="0" fontId="54" fillId="9" borderId="19" xfId="0" applyFont="1" applyFill="1" applyBorder="1" applyAlignment="1">
      <alignment horizontal="center" vertical="center" wrapText="1"/>
    </xf>
    <xf numFmtId="0" fontId="54" fillId="9" borderId="20" xfId="0" applyFont="1" applyFill="1" applyBorder="1" applyAlignment="1">
      <alignment horizontal="center" vertical="center" wrapText="1"/>
    </xf>
    <xf numFmtId="0" fontId="54" fillId="9" borderId="0" xfId="0" applyFont="1" applyFill="1" applyAlignment="1">
      <alignment horizontal="center" vertical="center" wrapText="1"/>
    </xf>
    <xf numFmtId="0" fontId="54" fillId="9" borderId="21" xfId="0" applyFont="1" applyFill="1" applyBorder="1" applyAlignment="1">
      <alignment horizontal="center" vertical="center" wrapText="1"/>
    </xf>
    <xf numFmtId="0" fontId="54" fillId="9" borderId="22" xfId="0" applyFont="1" applyFill="1" applyBorder="1" applyAlignment="1">
      <alignment horizontal="center" vertical="center" wrapText="1"/>
    </xf>
    <xf numFmtId="0" fontId="0" fillId="21" borderId="0" xfId="0" applyFill="1" applyAlignment="1">
      <alignment wrapText="1"/>
    </xf>
    <xf numFmtId="0" fontId="16" fillId="21" borderId="0" xfId="0" applyFont="1" applyFill="1" applyAlignment="1">
      <alignment horizontal="right" vertical="center" wrapText="1"/>
    </xf>
    <xf numFmtId="0" fontId="16" fillId="21" borderId="21" xfId="0" applyFont="1" applyFill="1" applyBorder="1" applyAlignment="1">
      <alignment horizontal="right" vertical="center" wrapText="1"/>
    </xf>
    <xf numFmtId="0" fontId="16" fillId="21" borderId="0" xfId="0" applyFont="1" applyFill="1" applyAlignment="1">
      <alignment horizontal="center" vertical="center" wrapText="1"/>
    </xf>
    <xf numFmtId="0" fontId="16" fillId="21" borderId="22" xfId="0" applyFont="1" applyFill="1" applyBorder="1" applyAlignment="1">
      <alignment horizontal="center" vertical="center" wrapText="1"/>
    </xf>
    <xf numFmtId="0" fontId="16" fillId="21" borderId="21" xfId="0" applyFont="1" applyFill="1" applyBorder="1" applyAlignment="1">
      <alignment horizontal="center" vertical="center" wrapText="1"/>
    </xf>
    <xf numFmtId="0" fontId="9" fillId="21" borderId="15" xfId="0" applyFont="1" applyFill="1" applyBorder="1" applyAlignment="1">
      <alignment readingOrder="1"/>
    </xf>
    <xf numFmtId="0" fontId="0" fillId="21" borderId="19" xfId="0" applyFill="1" applyBorder="1" applyAlignment="1">
      <alignment wrapText="1"/>
    </xf>
    <xf numFmtId="0" fontId="0" fillId="21" borderId="20" xfId="0" applyFill="1" applyBorder="1" applyAlignment="1">
      <alignment wrapText="1"/>
    </xf>
    <xf numFmtId="0" fontId="41" fillId="22" borderId="0" xfId="0" applyFont="1" applyFill="1"/>
    <xf numFmtId="0" fontId="55" fillId="21" borderId="0" xfId="0" applyFont="1" applyFill="1"/>
    <xf numFmtId="0" fontId="56" fillId="21" borderId="0" xfId="0" applyFont="1" applyFill="1"/>
    <xf numFmtId="0" fontId="57" fillId="21" borderId="15" xfId="0" applyFont="1" applyFill="1" applyBorder="1" applyAlignment="1">
      <alignment wrapText="1"/>
    </xf>
    <xf numFmtId="0" fontId="57" fillId="21" borderId="19" xfId="0" applyFont="1" applyFill="1" applyBorder="1" applyAlignment="1">
      <alignment wrapText="1"/>
    </xf>
    <xf numFmtId="0" fontId="58" fillId="21" borderId="19" xfId="0" applyFont="1" applyFill="1" applyBorder="1" applyAlignment="1">
      <alignment wrapText="1"/>
    </xf>
    <xf numFmtId="0" fontId="1" fillId="0" borderId="22" xfId="0" applyFont="1" applyBorder="1" applyAlignment="1">
      <alignment wrapText="1"/>
    </xf>
    <xf numFmtId="164" fontId="0" fillId="5" borderId="0" xfId="0" applyNumberFormat="1" applyFill="1"/>
    <xf numFmtId="164" fontId="0" fillId="5" borderId="22" xfId="0" applyNumberFormat="1" applyFill="1" applyBorder="1"/>
    <xf numFmtId="0" fontId="1" fillId="21" borderId="10" xfId="0" applyFont="1" applyFill="1" applyBorder="1"/>
    <xf numFmtId="0" fontId="1" fillId="21" borderId="19" xfId="0" applyFont="1" applyFill="1" applyBorder="1"/>
    <xf numFmtId="0" fontId="1" fillId="21" borderId="12" xfId="0" applyFont="1" applyFill="1" applyBorder="1"/>
    <xf numFmtId="0" fontId="1" fillId="21" borderId="14" xfId="0" applyFont="1" applyFill="1" applyBorder="1"/>
    <xf numFmtId="166" fontId="1" fillId="5" borderId="0" xfId="0" applyNumberFormat="1" applyFont="1" applyFill="1"/>
    <xf numFmtId="0" fontId="20" fillId="24" borderId="0" xfId="0" applyFont="1" applyFill="1" applyAlignment="1">
      <alignment horizontal="center" vertical="center"/>
    </xf>
    <xf numFmtId="2" fontId="0" fillId="25" borderId="0" xfId="0" applyNumberFormat="1" applyFill="1" applyAlignment="1">
      <alignment horizontal="center" vertical="center" wrapText="1"/>
    </xf>
    <xf numFmtId="2" fontId="5" fillId="25" borderId="0" xfId="0" applyNumberFormat="1" applyFont="1" applyFill="1" applyAlignment="1">
      <alignment horizontal="center" vertical="center" wrapText="1"/>
    </xf>
    <xf numFmtId="0" fontId="0" fillId="3" borderId="0" xfId="0" applyFill="1" applyAlignment="1">
      <alignment horizontal="center" vertical="center"/>
    </xf>
    <xf numFmtId="2" fontId="0" fillId="25" borderId="0" xfId="0" applyNumberFormat="1" applyFill="1" applyAlignment="1">
      <alignment horizontal="center" vertical="center"/>
    </xf>
    <xf numFmtId="2" fontId="13" fillId="25" borderId="0" xfId="0" applyNumberFormat="1" applyFont="1" applyFill="1" applyAlignment="1">
      <alignment horizontal="center" vertical="center" wrapText="1"/>
    </xf>
    <xf numFmtId="0" fontId="0" fillId="21" borderId="0" xfId="0" applyFill="1" applyAlignment="1">
      <alignment horizontal="center" vertical="center"/>
    </xf>
    <xf numFmtId="2" fontId="0" fillId="0" borderId="17" xfId="0" applyNumberFormat="1" applyBorder="1"/>
    <xf numFmtId="2" fontId="0" fillId="0" borderId="18" xfId="0" applyNumberFormat="1" applyBorder="1"/>
    <xf numFmtId="2" fontId="41" fillId="0" borderId="0" xfId="0" applyNumberFormat="1" applyFont="1"/>
    <xf numFmtId="0" fontId="0" fillId="19" borderId="0" xfId="0" applyFill="1" applyAlignment="1">
      <alignment horizontal="center" vertical="center"/>
    </xf>
    <xf numFmtId="0" fontId="1" fillId="0" borderId="0" xfId="0" applyFont="1" applyAlignment="1">
      <alignment horizontal="right"/>
    </xf>
    <xf numFmtId="0" fontId="0" fillId="5" borderId="0" xfId="0" applyFill="1" applyAlignment="1">
      <alignment horizontal="right" vertical="center" wrapText="1"/>
    </xf>
    <xf numFmtId="0" fontId="0" fillId="5" borderId="6" xfId="0" applyFill="1" applyBorder="1"/>
    <xf numFmtId="0" fontId="0" fillId="5" borderId="9" xfId="0" applyFill="1" applyBorder="1" applyAlignment="1">
      <alignment wrapText="1"/>
    </xf>
    <xf numFmtId="164" fontId="6" fillId="5" borderId="7" xfId="0" applyNumberFormat="1" applyFont="1" applyFill="1" applyBorder="1"/>
    <xf numFmtId="0" fontId="0" fillId="5" borderId="9" xfId="0" applyFill="1" applyBorder="1"/>
    <xf numFmtId="164" fontId="6" fillId="5" borderId="6" xfId="0" applyNumberFormat="1" applyFont="1" applyFill="1" applyBorder="1"/>
    <xf numFmtId="2" fontId="0" fillId="5" borderId="6" xfId="0" applyNumberFormat="1" applyFill="1" applyBorder="1"/>
    <xf numFmtId="0" fontId="1" fillId="0" borderId="0" xfId="0" applyFont="1" applyAlignment="1">
      <alignment vertical="center"/>
    </xf>
    <xf numFmtId="0" fontId="0" fillId="0" borderId="0" xfId="0" quotePrefix="1" applyAlignment="1">
      <alignment vertical="center"/>
    </xf>
    <xf numFmtId="0" fontId="0" fillId="0" borderId="0" xfId="0" applyAlignment="1">
      <alignment vertical="center" wrapText="1"/>
    </xf>
    <xf numFmtId="0" fontId="1" fillId="0" borderId="0" xfId="0" applyFont="1" applyAlignment="1">
      <alignment vertical="center" wrapText="1"/>
    </xf>
    <xf numFmtId="0" fontId="17" fillId="0" borderId="0" xfId="0" applyFont="1"/>
    <xf numFmtId="0" fontId="0" fillId="19" borderId="0" xfId="0" applyFill="1" applyAlignment="1">
      <alignment horizontal="left" vertical="center" wrapText="1"/>
    </xf>
    <xf numFmtId="0" fontId="0" fillId="21" borderId="0" xfId="0" applyFill="1" applyAlignment="1">
      <alignment horizontal="left" vertical="center" wrapText="1"/>
    </xf>
    <xf numFmtId="0" fontId="0" fillId="9" borderId="0" xfId="0" applyFill="1" applyAlignment="1">
      <alignment horizontal="left" vertical="center" wrapText="1"/>
    </xf>
    <xf numFmtId="0" fontId="0" fillId="9" borderId="0" xfId="0" applyFill="1" applyAlignment="1">
      <alignment horizontal="center" vertical="center" wrapText="1"/>
    </xf>
    <xf numFmtId="0" fontId="13" fillId="9" borderId="0" xfId="0" applyFont="1" applyFill="1" applyAlignment="1">
      <alignment horizontal="center" vertical="center" wrapText="1"/>
    </xf>
    <xf numFmtId="49" fontId="0" fillId="9" borderId="0" xfId="0" applyNumberFormat="1" applyFill="1" applyAlignment="1">
      <alignment horizontal="left" vertical="center" wrapText="1"/>
    </xf>
    <xf numFmtId="0" fontId="0" fillId="9" borderId="0" xfId="0" applyFill="1" applyAlignment="1">
      <alignment horizontal="right" vertical="center" wrapText="1"/>
    </xf>
    <xf numFmtId="0" fontId="5" fillId="21" borderId="0" xfId="0" applyFont="1" applyFill="1" applyAlignment="1">
      <alignment horizontal="left" vertical="center" wrapText="1"/>
    </xf>
    <xf numFmtId="0" fontId="5" fillId="21" borderId="0" xfId="0" applyFont="1" applyFill="1" applyAlignment="1">
      <alignment horizontal="center" vertical="center" wrapText="1"/>
    </xf>
    <xf numFmtId="0" fontId="10" fillId="21" borderId="0" xfId="0" applyFont="1" applyFill="1" applyAlignment="1">
      <alignment horizontal="center" vertical="center" wrapText="1"/>
    </xf>
    <xf numFmtId="49" fontId="0" fillId="21" borderId="0" xfId="0" applyNumberFormat="1" applyFill="1" applyAlignment="1">
      <alignment horizontal="left" vertical="center" wrapText="1"/>
    </xf>
    <xf numFmtId="0" fontId="1" fillId="21" borderId="0" xfId="0" applyFont="1" applyFill="1" applyAlignment="1">
      <alignment vertical="center" wrapText="1"/>
    </xf>
    <xf numFmtId="0" fontId="1" fillId="21" borderId="0" xfId="0" applyFont="1" applyFill="1" applyAlignment="1">
      <alignment vertical="center"/>
    </xf>
    <xf numFmtId="2" fontId="0" fillId="9" borderId="0" xfId="0" applyNumberFormat="1" applyFill="1" applyAlignment="1">
      <alignment horizontal="center" vertical="center" wrapText="1"/>
    </xf>
    <xf numFmtId="2" fontId="0" fillId="21" borderId="0" xfId="0" applyNumberFormat="1" applyFill="1" applyAlignment="1">
      <alignment horizontal="center" vertical="center"/>
    </xf>
    <xf numFmtId="2" fontId="1" fillId="21" borderId="0" xfId="0" applyNumberFormat="1" applyFont="1" applyFill="1" applyAlignment="1">
      <alignment horizontal="center" vertical="center" wrapText="1"/>
    </xf>
    <xf numFmtId="2" fontId="0" fillId="21" borderId="0" xfId="0" applyNumberFormat="1" applyFill="1" applyAlignment="1">
      <alignment horizontal="center" vertical="center" wrapText="1"/>
    </xf>
    <xf numFmtId="0" fontId="5" fillId="9" borderId="0" xfId="0" applyFont="1" applyFill="1" applyAlignment="1">
      <alignment horizontal="center" vertical="center" wrapText="1"/>
    </xf>
    <xf numFmtId="0" fontId="0" fillId="19" borderId="0" xfId="0" applyFill="1" applyAlignment="1">
      <alignment vertical="center"/>
    </xf>
    <xf numFmtId="0" fontId="0" fillId="9" borderId="0" xfId="0" applyFill="1" applyAlignment="1">
      <alignment vertical="center"/>
    </xf>
    <xf numFmtId="0" fontId="0" fillId="21" borderId="0" xfId="0" applyFill="1" applyAlignment="1">
      <alignment vertical="center"/>
    </xf>
    <xf numFmtId="0" fontId="7" fillId="0" borderId="0" xfId="0" applyFont="1" applyAlignment="1">
      <alignment vertical="center"/>
    </xf>
    <xf numFmtId="0" fontId="9" fillId="0" borderId="0" xfId="0" applyFont="1" applyAlignment="1">
      <alignment vertical="center" wrapText="1" readingOrder="1"/>
    </xf>
    <xf numFmtId="2" fontId="0" fillId="0" borderId="0" xfId="0" applyNumberFormat="1" applyAlignment="1">
      <alignment vertical="center"/>
    </xf>
    <xf numFmtId="0" fontId="17" fillId="19" borderId="0" xfId="0" applyFont="1" applyFill="1" applyAlignment="1">
      <alignment vertical="center"/>
    </xf>
    <xf numFmtId="0" fontId="0" fillId="19" borderId="0" xfId="0" applyFill="1" applyAlignment="1">
      <alignment vertical="center" wrapText="1"/>
    </xf>
    <xf numFmtId="0" fontId="0" fillId="21" borderId="0" xfId="0" applyFill="1" applyAlignment="1">
      <alignment vertical="center" wrapText="1"/>
    </xf>
    <xf numFmtId="0" fontId="3" fillId="0" borderId="0" xfId="9" applyAlignment="1">
      <alignment horizontal="center" vertical="center"/>
    </xf>
    <xf numFmtId="0" fontId="3" fillId="0" borderId="0" xfId="9" applyAlignment="1">
      <alignment horizontal="center" vertical="center"/>
    </xf>
    <xf numFmtId="0" fontId="0" fillId="9" borderId="0" xfId="0" applyFill="1" applyAlignment="1">
      <alignment horizontal="center" vertical="center"/>
    </xf>
    <xf numFmtId="0" fontId="3" fillId="0" borderId="0" xfId="9" applyFill="1" applyAlignment="1">
      <alignment horizontal="center" vertical="center"/>
    </xf>
    <xf numFmtId="0" fontId="3" fillId="0" borderId="0" xfId="9" applyFill="1" applyAlignment="1">
      <alignment horizontal="center" vertical="center"/>
    </xf>
    <xf numFmtId="0" fontId="3" fillId="0" borderId="0" xfId="9" applyAlignment="1">
      <alignment horizontal="center" vertical="center" wrapText="1"/>
    </xf>
    <xf numFmtId="0" fontId="3" fillId="0" borderId="0" xfId="9" applyFill="1" applyAlignment="1">
      <alignment horizontal="center" vertical="center" wrapText="1"/>
    </xf>
    <xf numFmtId="0" fontId="0" fillId="9" borderId="0" xfId="0" applyFill="1" applyAlignment="1">
      <alignment vertical="center" wrapText="1"/>
    </xf>
    <xf numFmtId="0" fontId="43" fillId="0" borderId="0" xfId="0" applyFont="1" applyAlignment="1">
      <alignment horizontal="left" vertical="center"/>
    </xf>
    <xf numFmtId="0" fontId="49" fillId="21" borderId="0" xfId="0" applyFont="1" applyFill="1" applyAlignment="1">
      <alignment horizontal="center" vertical="center" wrapText="1"/>
    </xf>
    <xf numFmtId="0" fontId="49" fillId="21" borderId="0" xfId="0" applyFont="1" applyFill="1" applyAlignment="1">
      <alignment horizontal="center"/>
    </xf>
    <xf numFmtId="2" fontId="5" fillId="0" borderId="0" xfId="0" applyNumberFormat="1" applyFont="1"/>
    <xf numFmtId="0" fontId="39" fillId="21" borderId="0" xfId="0" applyFont="1" applyFill="1"/>
    <xf numFmtId="0" fontId="60" fillId="21" borderId="0" xfId="0" applyFont="1" applyFill="1" applyAlignment="1">
      <alignment horizontal="center"/>
    </xf>
    <xf numFmtId="0" fontId="22" fillId="21" borderId="0" xfId="0" applyFont="1" applyFill="1" applyAlignment="1">
      <alignment horizontal="center" wrapText="1"/>
    </xf>
    <xf numFmtId="0" fontId="8" fillId="13" borderId="0" xfId="0" applyFont="1" applyFill="1"/>
    <xf numFmtId="0" fontId="43" fillId="0" borderId="0" xfId="0" applyFont="1" applyAlignment="1">
      <alignment vertical="center" wrapText="1"/>
    </xf>
    <xf numFmtId="0" fontId="43" fillId="0" borderId="0" xfId="0" applyFont="1" applyAlignment="1">
      <alignment vertical="center"/>
    </xf>
    <xf numFmtId="2" fontId="0" fillId="0" borderId="0" xfId="0" applyNumberFormat="1" applyAlignment="1">
      <alignment horizontal="center"/>
    </xf>
    <xf numFmtId="2" fontId="34" fillId="0" borderId="0" xfId="0" applyNumberFormat="1" applyFont="1" applyAlignment="1">
      <alignment horizontal="center" vertical="center"/>
    </xf>
    <xf numFmtId="0" fontId="55" fillId="8" borderId="0" xfId="0" applyFont="1" applyFill="1"/>
    <xf numFmtId="10" fontId="17" fillId="22" borderId="36" xfId="0" applyNumberFormat="1" applyFont="1" applyFill="1" applyBorder="1"/>
    <xf numFmtId="166" fontId="0" fillId="5" borderId="0" xfId="0" applyNumberFormat="1" applyFill="1"/>
    <xf numFmtId="165" fontId="21" fillId="0" borderId="0" xfId="0" applyNumberFormat="1" applyFont="1"/>
    <xf numFmtId="164" fontId="21" fillId="0" borderId="0" xfId="0" applyNumberFormat="1" applyFont="1"/>
    <xf numFmtId="0" fontId="21" fillId="0" borderId="0" xfId="0" applyFont="1"/>
    <xf numFmtId="2" fontId="61" fillId="0" borderId="0" xfId="0" applyNumberFormat="1" applyFont="1"/>
    <xf numFmtId="2" fontId="61" fillId="5" borderId="0" xfId="0" applyNumberFormat="1" applyFont="1" applyFill="1"/>
    <xf numFmtId="0" fontId="46" fillId="19" borderId="0" xfId="0" applyFont="1" applyFill="1" applyAlignment="1">
      <alignment horizontal="center" vertical="center" wrapText="1"/>
    </xf>
    <xf numFmtId="0" fontId="20" fillId="15" borderId="34" xfId="0" applyFont="1" applyFill="1" applyBorder="1" applyAlignment="1">
      <alignment horizontal="center" vertical="center" wrapText="1"/>
    </xf>
    <xf numFmtId="0" fontId="20" fillId="15" borderId="12" xfId="0" applyFont="1" applyFill="1" applyBorder="1" applyAlignment="1">
      <alignment horizontal="center" vertical="center" wrapText="1"/>
    </xf>
    <xf numFmtId="0" fontId="20" fillId="15" borderId="35" xfId="0" applyFont="1" applyFill="1" applyBorder="1" applyAlignment="1">
      <alignment horizontal="center" vertical="center" wrapText="1"/>
    </xf>
    <xf numFmtId="0" fontId="0" fillId="0" borderId="0" xfId="0" applyAlignment="1">
      <alignment horizontal="center" wrapText="1"/>
    </xf>
    <xf numFmtId="0" fontId="17" fillId="19" borderId="15" xfId="0" applyFont="1" applyFill="1" applyBorder="1" applyAlignment="1">
      <alignment horizontal="center"/>
    </xf>
    <xf numFmtId="0" fontId="17" fillId="19" borderId="19" xfId="0" applyFont="1" applyFill="1" applyBorder="1" applyAlignment="1">
      <alignment horizontal="center"/>
    </xf>
    <xf numFmtId="0" fontId="17" fillId="19" borderId="20" xfId="0" applyFont="1" applyFill="1" applyBorder="1" applyAlignment="1">
      <alignment horizontal="center"/>
    </xf>
    <xf numFmtId="0" fontId="17" fillId="16" borderId="0" xfId="0" applyFont="1" applyFill="1" applyAlignment="1">
      <alignment horizontal="center"/>
    </xf>
    <xf numFmtId="0" fontId="0" fillId="17" borderId="15" xfId="0" applyFill="1" applyBorder="1" applyAlignment="1">
      <alignment horizontal="center"/>
    </xf>
    <xf numFmtId="0" fontId="0" fillId="17" borderId="19" xfId="0" applyFill="1" applyBorder="1" applyAlignment="1">
      <alignment horizontal="center"/>
    </xf>
    <xf numFmtId="0" fontId="0" fillId="17" borderId="20" xfId="0" applyFill="1" applyBorder="1" applyAlignment="1">
      <alignment horizontal="center"/>
    </xf>
    <xf numFmtId="0" fontId="0" fillId="7" borderId="15" xfId="0" applyFill="1" applyBorder="1" applyAlignment="1">
      <alignment horizontal="center"/>
    </xf>
    <xf numFmtId="0" fontId="0" fillId="7" borderId="19" xfId="0" applyFill="1" applyBorder="1" applyAlignment="1">
      <alignment horizontal="center"/>
    </xf>
    <xf numFmtId="0" fontId="0" fillId="7" borderId="20" xfId="0" applyFill="1" applyBorder="1" applyAlignment="1">
      <alignment horizontal="center"/>
    </xf>
    <xf numFmtId="0" fontId="1" fillId="24" borderId="0" xfId="0" applyFont="1" applyFill="1" applyAlignment="1">
      <alignment horizontal="center"/>
    </xf>
    <xf numFmtId="0" fontId="0" fillId="0" borderId="0" xfId="0" applyAlignment="1">
      <alignment horizontal="center"/>
    </xf>
    <xf numFmtId="0" fontId="0" fillId="6" borderId="0" xfId="0" applyFill="1" applyAlignment="1">
      <alignment horizontal="center"/>
    </xf>
    <xf numFmtId="0" fontId="1" fillId="21" borderId="0" xfId="0" applyFont="1" applyFill="1" applyAlignment="1">
      <alignment horizontal="center" wrapText="1"/>
    </xf>
    <xf numFmtId="0" fontId="1" fillId="21" borderId="0" xfId="0" applyFont="1" applyFill="1" applyAlignment="1">
      <alignment horizontal="center"/>
    </xf>
    <xf numFmtId="0" fontId="45" fillId="21" borderId="0" xfId="0" applyFont="1" applyFill="1" applyAlignment="1">
      <alignment horizontal="center"/>
    </xf>
    <xf numFmtId="0" fontId="1" fillId="5" borderId="0" xfId="0" applyFont="1" applyFill="1" applyAlignment="1">
      <alignment horizontal="center" vertical="center"/>
    </xf>
    <xf numFmtId="0" fontId="20" fillId="24" borderId="0" xfId="0" applyFont="1" applyFill="1" applyAlignment="1">
      <alignment horizontal="center" vertical="center"/>
    </xf>
    <xf numFmtId="0" fontId="43" fillId="0" borderId="0" xfId="0" applyFont="1" applyAlignment="1">
      <alignment horizontal="center" wrapText="1"/>
    </xf>
    <xf numFmtId="0" fontId="43" fillId="0" borderId="0" xfId="0" applyFont="1" applyAlignment="1">
      <alignment horizontal="center" vertical="center" wrapText="1"/>
    </xf>
    <xf numFmtId="0" fontId="20" fillId="8" borderId="0" xfId="0" applyFont="1" applyFill="1" applyAlignment="1">
      <alignment horizontal="center" vertical="center"/>
    </xf>
    <xf numFmtId="0" fontId="59" fillId="24" borderId="2" xfId="0" applyFont="1" applyFill="1" applyBorder="1" applyAlignment="1">
      <alignment horizontal="center" vertical="center"/>
    </xf>
    <xf numFmtId="0" fontId="59" fillId="24" borderId="3" xfId="0" applyFont="1" applyFill="1" applyBorder="1" applyAlignment="1">
      <alignment horizontal="center" vertical="center"/>
    </xf>
    <xf numFmtId="0" fontId="59" fillId="24" borderId="4" xfId="0" applyFont="1" applyFill="1" applyBorder="1" applyAlignment="1">
      <alignment horizontal="center" vertical="center"/>
    </xf>
    <xf numFmtId="0" fontId="59" fillId="24" borderId="8" xfId="0" applyFont="1" applyFill="1" applyBorder="1" applyAlignment="1">
      <alignment horizontal="center" vertical="center"/>
    </xf>
    <xf numFmtId="0" fontId="59" fillId="24" borderId="0" xfId="0" applyFont="1" applyFill="1" applyAlignment="1">
      <alignment horizontal="center" vertical="center"/>
    </xf>
    <xf numFmtId="0" fontId="59" fillId="24" borderId="5" xfId="0" applyFont="1" applyFill="1" applyBorder="1" applyAlignment="1">
      <alignment horizontal="center" vertical="center"/>
    </xf>
    <xf numFmtId="0" fontId="59" fillId="24" borderId="2" xfId="0" applyFont="1" applyFill="1" applyBorder="1" applyAlignment="1">
      <alignment horizontal="center" vertical="center" wrapText="1"/>
    </xf>
    <xf numFmtId="0" fontId="59" fillId="24" borderId="3" xfId="0" applyFont="1" applyFill="1" applyBorder="1" applyAlignment="1">
      <alignment horizontal="center" vertical="center" wrapText="1"/>
    </xf>
    <xf numFmtId="0" fontId="59" fillId="24" borderId="4" xfId="0" applyFont="1" applyFill="1" applyBorder="1" applyAlignment="1">
      <alignment horizontal="center" vertical="center" wrapText="1"/>
    </xf>
    <xf numFmtId="0" fontId="59" fillId="24" borderId="8" xfId="0" applyFont="1" applyFill="1" applyBorder="1" applyAlignment="1">
      <alignment horizontal="center" vertical="center" wrapText="1"/>
    </xf>
    <xf numFmtId="0" fontId="59" fillId="24" borderId="0" xfId="0" applyFont="1" applyFill="1" applyAlignment="1">
      <alignment horizontal="center" vertical="center" wrapText="1"/>
    </xf>
    <xf numFmtId="0" fontId="59" fillId="24" borderId="5" xfId="0" applyFont="1" applyFill="1" applyBorder="1" applyAlignment="1">
      <alignment horizontal="center" vertical="center" wrapText="1"/>
    </xf>
    <xf numFmtId="0" fontId="59" fillId="24" borderId="9" xfId="0" applyFont="1" applyFill="1" applyBorder="1" applyAlignment="1">
      <alignment horizontal="center" vertical="center"/>
    </xf>
    <xf numFmtId="0" fontId="59" fillId="24" borderId="6" xfId="0" applyFont="1" applyFill="1" applyBorder="1" applyAlignment="1">
      <alignment horizontal="center" vertical="center"/>
    </xf>
    <xf numFmtId="0" fontId="59" fillId="24" borderId="7" xfId="0" applyFont="1" applyFill="1" applyBorder="1" applyAlignment="1">
      <alignment horizontal="center" vertical="center"/>
    </xf>
    <xf numFmtId="0" fontId="43" fillId="0" borderId="0" xfId="0" applyFont="1" applyAlignment="1">
      <alignment horizontal="left" wrapText="1"/>
    </xf>
    <xf numFmtId="0" fontId="43" fillId="0" borderId="0" xfId="0" applyFont="1" applyAlignment="1">
      <alignment horizontal="left" vertical="center" wrapText="1"/>
    </xf>
    <xf numFmtId="0" fontId="1" fillId="0" borderId="0" xfId="0" applyFont="1" applyAlignment="1">
      <alignment horizontal="left" wrapText="1"/>
    </xf>
    <xf numFmtId="0" fontId="43" fillId="0" borderId="0" xfId="0" applyFont="1" applyAlignment="1">
      <alignment horizontal="left"/>
    </xf>
    <xf numFmtId="0" fontId="0" fillId="0" borderId="0" xfId="0" applyAlignment="1">
      <alignment horizontal="center" vertical="top" wrapText="1"/>
    </xf>
    <xf numFmtId="0" fontId="1" fillId="0" borderId="0" xfId="0" applyFont="1" applyAlignment="1">
      <alignment horizontal="center"/>
    </xf>
  </cellXfs>
  <cellStyles count="10">
    <cellStyle name="Followed Hyperlink" xfId="4" builtinId="9" hidden="1"/>
    <cellStyle name="Followed Hyperlink" xfId="2" builtinId="9" hidden="1"/>
    <cellStyle name="Followed Hyperlink" xfId="8" builtinId="9" hidden="1"/>
    <cellStyle name="Followed Hyperlink" xfId="6" builtinId="9" hidden="1"/>
    <cellStyle name="Hyperlink" xfId="7" hidden="1" xr:uid="{00000000-000B-0000-0000-000008000000}"/>
    <cellStyle name="Hyperlink" xfId="1" hidden="1" xr:uid="{00000000-000B-0000-0000-000008000000}"/>
    <cellStyle name="Hyperlink" xfId="5" hidden="1" xr:uid="{00000000-000B-0000-0000-000008000000}"/>
    <cellStyle name="Hyperlink" xfId="3" hidden="1" xr:uid="{00000000-000B-0000-0000-000008000000}"/>
    <cellStyle name="Hyperlink" xfId="9" xr:uid="{00000000-000B-0000-0000-000008000000}"/>
    <cellStyle name="Normal" xfId="0" builtinId="0"/>
  </cellStyles>
  <dxfs count="4">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s>
  <tableStyles count="0" defaultTableStyle="TableStyleMedium9" defaultPivotStyle="PivotStyleMedium7"/>
  <colors>
    <mruColors>
      <color rgb="FFFF8C8C"/>
      <color rgb="FFE965F0"/>
      <color rgb="FFF9EDFF"/>
      <color rgb="FF24B3A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microsoft.com/office/2017/10/relationships/person" Target="persons/perso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42.png"/></Relationships>
</file>

<file path=xl/drawings/_rels/drawing12.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 Id="rId6" Type="http://schemas.openxmlformats.org/officeDocument/2006/relationships/image" Target="../media/image50.png"/><Relationship Id="rId5" Type="http://schemas.openxmlformats.org/officeDocument/2006/relationships/image" Target="../media/image49.png"/><Relationship Id="rId4" Type="http://schemas.openxmlformats.org/officeDocument/2006/relationships/image" Target="../media/image48.png"/></Relationships>
</file>

<file path=xl/drawings/_rels/drawing14.xml.rels><?xml version="1.0" encoding="UTF-8" standalone="yes"?>
<Relationships xmlns="http://schemas.openxmlformats.org/package/2006/relationships"><Relationship Id="rId1" Type="http://schemas.openxmlformats.org/officeDocument/2006/relationships/image" Target="../media/image5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3" Type="http://schemas.openxmlformats.org/officeDocument/2006/relationships/image" Target="../media/image54.png"/><Relationship Id="rId7" Type="http://schemas.openxmlformats.org/officeDocument/2006/relationships/image" Target="../media/image58.png"/><Relationship Id="rId12" Type="http://schemas.openxmlformats.org/officeDocument/2006/relationships/image" Target="../media/image63.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s>
</file>

<file path=xl/drawings/_rels/drawing16.xml.rels><?xml version="1.0" encoding="UTF-8" standalone="yes"?>
<Relationships xmlns="http://schemas.openxmlformats.org/package/2006/relationships"><Relationship Id="rId3" Type="http://schemas.openxmlformats.org/officeDocument/2006/relationships/image" Target="../media/image67.png"/><Relationship Id="rId7" Type="http://schemas.openxmlformats.org/officeDocument/2006/relationships/image" Target="../media/image71.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70.png"/><Relationship Id="rId5" Type="http://schemas.openxmlformats.org/officeDocument/2006/relationships/image" Target="../media/image69.png"/><Relationship Id="rId4" Type="http://schemas.openxmlformats.org/officeDocument/2006/relationships/image" Target="../media/image68.png"/></Relationships>
</file>

<file path=xl/drawings/_rels/drawing17.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s>
</file>

<file path=xl/drawings/_rels/drawing18.xml.rels><?xml version="1.0" encoding="UTF-8" standalone="yes"?>
<Relationships xmlns="http://schemas.openxmlformats.org/package/2006/relationships"><Relationship Id="rId8" Type="http://schemas.openxmlformats.org/officeDocument/2006/relationships/image" Target="../media/image82.png"/><Relationship Id="rId3" Type="http://schemas.openxmlformats.org/officeDocument/2006/relationships/image" Target="../media/image77.png"/><Relationship Id="rId7" Type="http://schemas.openxmlformats.org/officeDocument/2006/relationships/image" Target="../media/image81.png"/><Relationship Id="rId2" Type="http://schemas.openxmlformats.org/officeDocument/2006/relationships/image" Target="../media/image76.png"/><Relationship Id="rId1" Type="http://schemas.openxmlformats.org/officeDocument/2006/relationships/image" Target="../media/image75.png"/><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 Id="rId9" Type="http://schemas.openxmlformats.org/officeDocument/2006/relationships/image" Target="../media/image83.png"/></Relationships>
</file>

<file path=xl/drawings/_rels/drawing19.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 Id="rId5" Type="http://schemas.openxmlformats.org/officeDocument/2006/relationships/image" Target="../media/image88.png"/><Relationship Id="rId4" Type="http://schemas.openxmlformats.org/officeDocument/2006/relationships/image" Target="../media/image87.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3" Type="http://schemas.openxmlformats.org/officeDocument/2006/relationships/image" Target="../media/image91.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4.png"/><Relationship Id="rId5" Type="http://schemas.openxmlformats.org/officeDocument/2006/relationships/image" Target="../media/image93.png"/><Relationship Id="rId4" Type="http://schemas.openxmlformats.org/officeDocument/2006/relationships/image" Target="../media/image92.png"/></Relationships>
</file>

<file path=xl/drawings/_rels/drawing21.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4" Type="http://schemas.openxmlformats.org/officeDocument/2006/relationships/image" Target="../media/image98.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media/image100.png"/><Relationship Id="rId1" Type="http://schemas.openxmlformats.org/officeDocument/2006/relationships/image" Target="../media/image99.png"/><Relationship Id="rId6" Type="http://schemas.openxmlformats.org/officeDocument/2006/relationships/image" Target="../media/image104.png"/><Relationship Id="rId5" Type="http://schemas.openxmlformats.org/officeDocument/2006/relationships/image" Target="../media/image103.png"/><Relationship Id="rId4" Type="http://schemas.openxmlformats.org/officeDocument/2006/relationships/image" Target="../media/image102.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13.png"/><Relationship Id="rId3" Type="http://schemas.openxmlformats.org/officeDocument/2006/relationships/image" Target="../media/image108.png"/><Relationship Id="rId7" Type="http://schemas.openxmlformats.org/officeDocument/2006/relationships/image" Target="../media/image112.png"/><Relationship Id="rId2" Type="http://schemas.openxmlformats.org/officeDocument/2006/relationships/image" Target="../media/image107.png"/><Relationship Id="rId1" Type="http://schemas.openxmlformats.org/officeDocument/2006/relationships/image" Target="../media/image106.png"/><Relationship Id="rId6" Type="http://schemas.openxmlformats.org/officeDocument/2006/relationships/image" Target="../media/image111.png"/><Relationship Id="rId5" Type="http://schemas.openxmlformats.org/officeDocument/2006/relationships/image" Target="../media/image110.png"/><Relationship Id="rId4" Type="http://schemas.openxmlformats.org/officeDocument/2006/relationships/image" Target="../media/image109.png"/><Relationship Id="rId9" Type="http://schemas.openxmlformats.org/officeDocument/2006/relationships/image" Target="../media/image114.png"/></Relationships>
</file>

<file path=xl/drawings/_rels/drawing24.xml.rels><?xml version="1.0" encoding="UTF-8" standalone="yes"?>
<Relationships xmlns="http://schemas.openxmlformats.org/package/2006/relationships"><Relationship Id="rId1" Type="http://schemas.openxmlformats.org/officeDocument/2006/relationships/image" Target="../media/image115.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4" Type="http://schemas.openxmlformats.org/officeDocument/2006/relationships/image" Target="../media/image1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12" Type="http://schemas.openxmlformats.org/officeDocument/2006/relationships/image" Target="../media/image23.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png"/><Relationship Id="rId1" Type="http://schemas.openxmlformats.org/officeDocument/2006/relationships/image" Target="../media/image24.png"/><Relationship Id="rId6" Type="http://schemas.openxmlformats.org/officeDocument/2006/relationships/image" Target="../media/image29.png"/><Relationship Id="rId5" Type="http://schemas.openxmlformats.org/officeDocument/2006/relationships/image" Target="../media/image28.png"/><Relationship Id="rId4" Type="http://schemas.openxmlformats.org/officeDocument/2006/relationships/image" Target="../media/image27.png"/></Relationships>
</file>

<file path=xl/drawings/_rels/drawing7.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png"/></Relationships>
</file>

<file path=xl/drawings/_rels/drawing8.xml.rels><?xml version="1.0" encoding="UTF-8" standalone="yes"?>
<Relationships xmlns="http://schemas.openxmlformats.org/package/2006/relationships"><Relationship Id="rId2" Type="http://schemas.openxmlformats.org/officeDocument/2006/relationships/image" Target="../media/image34.png"/><Relationship Id="rId1" Type="http://schemas.openxmlformats.org/officeDocument/2006/relationships/image" Target="../media/image33.png"/></Relationships>
</file>

<file path=xl/drawings/_rels/drawing9.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 Id="rId4"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6</xdr:col>
      <xdr:colOff>228600</xdr:colOff>
      <xdr:row>7</xdr:row>
      <xdr:rowOff>114300</xdr:rowOff>
    </xdr:from>
    <xdr:to>
      <xdr:col>13</xdr:col>
      <xdr:colOff>0</xdr:colOff>
      <xdr:row>27</xdr:row>
      <xdr:rowOff>171450</xdr:rowOff>
    </xdr:to>
    <xdr:pic>
      <xdr:nvPicPr>
        <xdr:cNvPr id="2" name="Image 1">
          <a:extLst>
            <a:ext uri="{FF2B5EF4-FFF2-40B4-BE49-F238E27FC236}">
              <a16:creationId xmlns:a16="http://schemas.microsoft.com/office/drawing/2014/main" id="{E73F8C86-817D-8B4E-272C-FF1D14AF07A1}"/>
            </a:ext>
          </a:extLst>
        </xdr:cNvPr>
        <xdr:cNvPicPr>
          <a:picLocks noChangeAspect="1"/>
        </xdr:cNvPicPr>
      </xdr:nvPicPr>
      <xdr:blipFill>
        <a:blip xmlns:r="http://schemas.openxmlformats.org/officeDocument/2006/relationships" r:embed="rId1"/>
        <a:stretch>
          <a:fillRect/>
        </a:stretch>
      </xdr:blipFill>
      <xdr:spPr>
        <a:xfrm>
          <a:off x="13344525" y="1933575"/>
          <a:ext cx="4572000" cy="447675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85725</xdr:colOff>
      <xdr:row>18</xdr:row>
      <xdr:rowOff>180975</xdr:rowOff>
    </xdr:from>
    <xdr:to>
      <xdr:col>13</xdr:col>
      <xdr:colOff>38100</xdr:colOff>
      <xdr:row>25</xdr:row>
      <xdr:rowOff>190500</xdr:rowOff>
    </xdr:to>
    <xdr:pic>
      <xdr:nvPicPr>
        <xdr:cNvPr id="2" name="Image 1">
          <a:extLst>
            <a:ext uri="{FF2B5EF4-FFF2-40B4-BE49-F238E27FC236}">
              <a16:creationId xmlns:a16="http://schemas.microsoft.com/office/drawing/2014/main" id="{4D837E88-C0EE-7DE0-C12D-EC0D25A93C65}"/>
            </a:ext>
          </a:extLst>
        </xdr:cNvPr>
        <xdr:cNvPicPr>
          <a:picLocks noChangeAspect="1"/>
        </xdr:cNvPicPr>
      </xdr:nvPicPr>
      <xdr:blipFill>
        <a:blip xmlns:r="http://schemas.openxmlformats.org/officeDocument/2006/relationships" r:embed="rId1"/>
        <a:stretch>
          <a:fillRect/>
        </a:stretch>
      </xdr:blipFill>
      <xdr:spPr>
        <a:xfrm>
          <a:off x="5915025" y="4467225"/>
          <a:ext cx="3590925" cy="1409700"/>
        </a:xfrm>
        <a:prstGeom prst="rect">
          <a:avLst/>
        </a:prstGeom>
      </xdr:spPr>
    </xdr:pic>
    <xdr:clientData/>
  </xdr:twoCellAnchor>
  <xdr:twoCellAnchor editAs="oneCell">
    <xdr:from>
      <xdr:col>15</xdr:col>
      <xdr:colOff>523875</xdr:colOff>
      <xdr:row>25</xdr:row>
      <xdr:rowOff>152400</xdr:rowOff>
    </xdr:from>
    <xdr:to>
      <xdr:col>19</xdr:col>
      <xdr:colOff>504825</xdr:colOff>
      <xdr:row>30</xdr:row>
      <xdr:rowOff>190500</xdr:rowOff>
    </xdr:to>
    <xdr:pic>
      <xdr:nvPicPr>
        <xdr:cNvPr id="3" name="Image 2">
          <a:extLst>
            <a:ext uri="{FF2B5EF4-FFF2-40B4-BE49-F238E27FC236}">
              <a16:creationId xmlns:a16="http://schemas.microsoft.com/office/drawing/2014/main" id="{4E3A623D-8650-650D-684D-32E2F42C82DB}"/>
            </a:ext>
            <a:ext uri="{147F2762-F138-4A5C-976F-8EAC2B608ADB}">
              <a16:predDERef xmlns:a16="http://schemas.microsoft.com/office/drawing/2014/main" pred="{4D837E88-C0EE-7DE0-C12D-EC0D25A93C65}"/>
            </a:ext>
          </a:extLst>
        </xdr:cNvPr>
        <xdr:cNvPicPr>
          <a:picLocks noChangeAspect="1"/>
        </xdr:cNvPicPr>
      </xdr:nvPicPr>
      <xdr:blipFill>
        <a:blip xmlns:r="http://schemas.openxmlformats.org/officeDocument/2006/relationships" r:embed="rId2"/>
        <a:stretch>
          <a:fillRect/>
        </a:stretch>
      </xdr:blipFill>
      <xdr:spPr>
        <a:xfrm>
          <a:off x="9782175" y="5838825"/>
          <a:ext cx="3248025" cy="1038225"/>
        </a:xfrm>
        <a:prstGeom prst="rect">
          <a:avLst/>
        </a:prstGeom>
      </xdr:spPr>
    </xdr:pic>
    <xdr:clientData/>
  </xdr:twoCellAnchor>
  <xdr:twoCellAnchor editAs="oneCell">
    <xdr:from>
      <xdr:col>10</xdr:col>
      <xdr:colOff>361950</xdr:colOff>
      <xdr:row>37</xdr:row>
      <xdr:rowOff>57150</xdr:rowOff>
    </xdr:from>
    <xdr:to>
      <xdr:col>13</xdr:col>
      <xdr:colOff>1295400</xdr:colOff>
      <xdr:row>60</xdr:row>
      <xdr:rowOff>19050</xdr:rowOff>
    </xdr:to>
    <xdr:pic>
      <xdr:nvPicPr>
        <xdr:cNvPr id="4" name="Image 3">
          <a:extLst>
            <a:ext uri="{FF2B5EF4-FFF2-40B4-BE49-F238E27FC236}">
              <a16:creationId xmlns:a16="http://schemas.microsoft.com/office/drawing/2014/main" id="{FFFFDC8D-1B2D-02B3-408E-636688EEA409}"/>
            </a:ext>
            <a:ext uri="{147F2762-F138-4A5C-976F-8EAC2B608ADB}">
              <a16:predDERef xmlns:a16="http://schemas.microsoft.com/office/drawing/2014/main" pred="{4E3A623D-8650-650D-684D-32E2F42C82DB}"/>
            </a:ext>
          </a:extLst>
        </xdr:cNvPr>
        <xdr:cNvPicPr>
          <a:picLocks noChangeAspect="1"/>
        </xdr:cNvPicPr>
      </xdr:nvPicPr>
      <xdr:blipFill>
        <a:blip xmlns:r="http://schemas.openxmlformats.org/officeDocument/2006/relationships" r:embed="rId3"/>
        <a:stretch>
          <a:fillRect/>
        </a:stretch>
      </xdr:blipFill>
      <xdr:spPr>
        <a:xfrm>
          <a:off x="7248525" y="10477500"/>
          <a:ext cx="4572000" cy="45624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333375</xdr:colOff>
      <xdr:row>14</xdr:row>
      <xdr:rowOff>142875</xdr:rowOff>
    </xdr:from>
    <xdr:to>
      <xdr:col>4</xdr:col>
      <xdr:colOff>352425</xdr:colOff>
      <xdr:row>37</xdr:row>
      <xdr:rowOff>114300</xdr:rowOff>
    </xdr:to>
    <xdr:pic>
      <xdr:nvPicPr>
        <xdr:cNvPr id="2" name="Image 1">
          <a:extLst>
            <a:ext uri="{FF2B5EF4-FFF2-40B4-BE49-F238E27FC236}">
              <a16:creationId xmlns:a16="http://schemas.microsoft.com/office/drawing/2014/main" id="{A5E384A8-BA05-D18A-1F45-EFE8561C9F5A}"/>
            </a:ext>
          </a:extLst>
        </xdr:cNvPr>
        <xdr:cNvPicPr>
          <a:picLocks noChangeAspect="1"/>
        </xdr:cNvPicPr>
      </xdr:nvPicPr>
      <xdr:blipFill>
        <a:blip xmlns:r="http://schemas.openxmlformats.org/officeDocument/2006/relationships" r:embed="rId1"/>
        <a:stretch>
          <a:fillRect/>
        </a:stretch>
      </xdr:blipFill>
      <xdr:spPr>
        <a:xfrm>
          <a:off x="1019175" y="2809875"/>
          <a:ext cx="3267075" cy="45720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16</xdr:row>
      <xdr:rowOff>0</xdr:rowOff>
    </xdr:from>
    <xdr:to>
      <xdr:col>5</xdr:col>
      <xdr:colOff>76200</xdr:colOff>
      <xdr:row>26</xdr:row>
      <xdr:rowOff>38100</xdr:rowOff>
    </xdr:to>
    <xdr:pic>
      <xdr:nvPicPr>
        <xdr:cNvPr id="2" name="Image 1">
          <a:extLst>
            <a:ext uri="{FF2B5EF4-FFF2-40B4-BE49-F238E27FC236}">
              <a16:creationId xmlns:a16="http://schemas.microsoft.com/office/drawing/2014/main" id="{3D5EF7E6-C60B-6EAA-FF02-D5AA29832FED}"/>
            </a:ext>
          </a:extLst>
        </xdr:cNvPr>
        <xdr:cNvPicPr>
          <a:picLocks noChangeAspect="1"/>
        </xdr:cNvPicPr>
      </xdr:nvPicPr>
      <xdr:blipFill>
        <a:blip xmlns:r="http://schemas.openxmlformats.org/officeDocument/2006/relationships" r:embed="rId1"/>
        <a:stretch>
          <a:fillRect/>
        </a:stretch>
      </xdr:blipFill>
      <xdr:spPr>
        <a:xfrm>
          <a:off x="781050" y="3200400"/>
          <a:ext cx="4572000" cy="2038350"/>
        </a:xfrm>
        <a:prstGeom prst="rect">
          <a:avLst/>
        </a:prstGeom>
      </xdr:spPr>
    </xdr:pic>
    <xdr:clientData/>
  </xdr:twoCellAnchor>
  <xdr:twoCellAnchor editAs="oneCell">
    <xdr:from>
      <xdr:col>2</xdr:col>
      <xdr:colOff>28575</xdr:colOff>
      <xdr:row>26</xdr:row>
      <xdr:rowOff>104775</xdr:rowOff>
    </xdr:from>
    <xdr:to>
      <xdr:col>5</xdr:col>
      <xdr:colOff>104775</xdr:colOff>
      <xdr:row>35</xdr:row>
      <xdr:rowOff>38100</xdr:rowOff>
    </xdr:to>
    <xdr:pic>
      <xdr:nvPicPr>
        <xdr:cNvPr id="3" name="Image 2">
          <a:extLst>
            <a:ext uri="{FF2B5EF4-FFF2-40B4-BE49-F238E27FC236}">
              <a16:creationId xmlns:a16="http://schemas.microsoft.com/office/drawing/2014/main" id="{EFAD2F80-1943-532A-A76A-076F4BA3BF09}"/>
            </a:ext>
            <a:ext uri="{147F2762-F138-4A5C-976F-8EAC2B608ADB}">
              <a16:predDERef xmlns:a16="http://schemas.microsoft.com/office/drawing/2014/main" pred="{3D5EF7E6-C60B-6EAA-FF02-D5AA29832FED}"/>
            </a:ext>
          </a:extLst>
        </xdr:cNvPr>
        <xdr:cNvPicPr>
          <a:picLocks noChangeAspect="1"/>
        </xdr:cNvPicPr>
      </xdr:nvPicPr>
      <xdr:blipFill>
        <a:blip xmlns:r="http://schemas.openxmlformats.org/officeDocument/2006/relationships" r:embed="rId2"/>
        <a:stretch>
          <a:fillRect/>
        </a:stretch>
      </xdr:blipFill>
      <xdr:spPr>
        <a:xfrm>
          <a:off x="809625" y="5305425"/>
          <a:ext cx="4572000" cy="173355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123825</xdr:colOff>
      <xdr:row>37</xdr:row>
      <xdr:rowOff>66675</xdr:rowOff>
    </xdr:from>
    <xdr:to>
      <xdr:col>6</xdr:col>
      <xdr:colOff>371475</xdr:colOff>
      <xdr:row>44</xdr:row>
      <xdr:rowOff>0</xdr:rowOff>
    </xdr:to>
    <xdr:pic>
      <xdr:nvPicPr>
        <xdr:cNvPr id="3" name="Image 2">
          <a:extLst>
            <a:ext uri="{FF2B5EF4-FFF2-40B4-BE49-F238E27FC236}">
              <a16:creationId xmlns:a16="http://schemas.microsoft.com/office/drawing/2014/main" id="{4D4AA761-F60A-F1D6-61EC-A14988556164}"/>
            </a:ext>
            <a:ext uri="{147F2762-F138-4A5C-976F-8EAC2B608ADB}">
              <a16:predDERef xmlns:a16="http://schemas.microsoft.com/office/drawing/2014/main" pred="{C13596DB-8DA1-A96D-8B68-79398F14159D}"/>
            </a:ext>
          </a:extLst>
        </xdr:cNvPr>
        <xdr:cNvPicPr>
          <a:picLocks noChangeAspect="1"/>
        </xdr:cNvPicPr>
      </xdr:nvPicPr>
      <xdr:blipFill>
        <a:blip xmlns:r="http://schemas.openxmlformats.org/officeDocument/2006/relationships" r:embed="rId1"/>
        <a:stretch>
          <a:fillRect/>
        </a:stretch>
      </xdr:blipFill>
      <xdr:spPr>
        <a:xfrm>
          <a:off x="971550" y="7267575"/>
          <a:ext cx="3429000" cy="1333500"/>
        </a:xfrm>
        <a:prstGeom prst="rect">
          <a:avLst/>
        </a:prstGeom>
      </xdr:spPr>
    </xdr:pic>
    <xdr:clientData/>
  </xdr:twoCellAnchor>
  <xdr:twoCellAnchor editAs="oneCell">
    <xdr:from>
      <xdr:col>2</xdr:col>
      <xdr:colOff>19050</xdr:colOff>
      <xdr:row>45</xdr:row>
      <xdr:rowOff>66675</xdr:rowOff>
    </xdr:from>
    <xdr:to>
      <xdr:col>6</xdr:col>
      <xdr:colOff>447675</xdr:colOff>
      <xdr:row>54</xdr:row>
      <xdr:rowOff>95250</xdr:rowOff>
    </xdr:to>
    <xdr:pic>
      <xdr:nvPicPr>
        <xdr:cNvPr id="4" name="Image 3">
          <a:extLst>
            <a:ext uri="{FF2B5EF4-FFF2-40B4-BE49-F238E27FC236}">
              <a16:creationId xmlns:a16="http://schemas.microsoft.com/office/drawing/2014/main" id="{8D5387D4-8B1B-D541-58D9-6F22F82B5785}"/>
            </a:ext>
            <a:ext uri="{147F2762-F138-4A5C-976F-8EAC2B608ADB}">
              <a16:predDERef xmlns:a16="http://schemas.microsoft.com/office/drawing/2014/main" pred="{4D4AA761-F60A-F1D6-61EC-A14988556164}"/>
            </a:ext>
          </a:extLst>
        </xdr:cNvPr>
        <xdr:cNvPicPr>
          <a:picLocks noChangeAspect="1"/>
        </xdr:cNvPicPr>
      </xdr:nvPicPr>
      <xdr:blipFill>
        <a:blip xmlns:r="http://schemas.openxmlformats.org/officeDocument/2006/relationships" r:embed="rId2"/>
        <a:stretch>
          <a:fillRect/>
        </a:stretch>
      </xdr:blipFill>
      <xdr:spPr>
        <a:xfrm>
          <a:off x="866775" y="8867775"/>
          <a:ext cx="3609975" cy="1828800"/>
        </a:xfrm>
        <a:prstGeom prst="rect">
          <a:avLst/>
        </a:prstGeom>
      </xdr:spPr>
    </xdr:pic>
    <xdr:clientData/>
  </xdr:twoCellAnchor>
  <xdr:twoCellAnchor editAs="oneCell">
    <xdr:from>
      <xdr:col>1</xdr:col>
      <xdr:colOff>333375</xdr:colOff>
      <xdr:row>23</xdr:row>
      <xdr:rowOff>171450</xdr:rowOff>
    </xdr:from>
    <xdr:to>
      <xdr:col>7</xdr:col>
      <xdr:colOff>133350</xdr:colOff>
      <xdr:row>35</xdr:row>
      <xdr:rowOff>142875</xdr:rowOff>
    </xdr:to>
    <xdr:pic>
      <xdr:nvPicPr>
        <xdr:cNvPr id="5" name="Image 4">
          <a:extLst>
            <a:ext uri="{FF2B5EF4-FFF2-40B4-BE49-F238E27FC236}">
              <a16:creationId xmlns:a16="http://schemas.microsoft.com/office/drawing/2014/main" id="{9A425E96-12A6-DF5E-5B45-D079FF3AFFDA}"/>
            </a:ext>
            <a:ext uri="{147F2762-F138-4A5C-976F-8EAC2B608ADB}">
              <a16:predDERef xmlns:a16="http://schemas.microsoft.com/office/drawing/2014/main" pred="{8D5387D4-8B1B-D541-58D9-6F22F82B5785}"/>
            </a:ext>
          </a:extLst>
        </xdr:cNvPr>
        <xdr:cNvPicPr>
          <a:picLocks noChangeAspect="1"/>
        </xdr:cNvPicPr>
      </xdr:nvPicPr>
      <xdr:blipFill>
        <a:blip xmlns:r="http://schemas.openxmlformats.org/officeDocument/2006/relationships" r:embed="rId3"/>
        <a:stretch>
          <a:fillRect/>
        </a:stretch>
      </xdr:blipFill>
      <xdr:spPr>
        <a:xfrm>
          <a:off x="495300" y="4572000"/>
          <a:ext cx="4572000" cy="2371725"/>
        </a:xfrm>
        <a:prstGeom prst="rect">
          <a:avLst/>
        </a:prstGeom>
      </xdr:spPr>
    </xdr:pic>
    <xdr:clientData/>
  </xdr:twoCellAnchor>
  <xdr:twoCellAnchor editAs="oneCell">
    <xdr:from>
      <xdr:col>6</xdr:col>
      <xdr:colOff>266700</xdr:colOff>
      <xdr:row>15</xdr:row>
      <xdr:rowOff>523875</xdr:rowOff>
    </xdr:from>
    <xdr:to>
      <xdr:col>11</xdr:col>
      <xdr:colOff>533400</xdr:colOff>
      <xdr:row>15</xdr:row>
      <xdr:rowOff>1181100</xdr:rowOff>
    </xdr:to>
    <xdr:pic>
      <xdr:nvPicPr>
        <xdr:cNvPr id="9" name="Image 8">
          <a:extLst>
            <a:ext uri="{FF2B5EF4-FFF2-40B4-BE49-F238E27FC236}">
              <a16:creationId xmlns:a16="http://schemas.microsoft.com/office/drawing/2014/main" id="{FC06B45D-B6BC-5266-6E65-FA276E55D154}"/>
            </a:ext>
            <a:ext uri="{147F2762-F138-4A5C-976F-8EAC2B608ADB}">
              <a16:predDERef xmlns:a16="http://schemas.microsoft.com/office/drawing/2014/main" pred="{9A425E96-12A6-DF5E-5B45-D079FF3AFFDA}"/>
            </a:ext>
          </a:extLst>
        </xdr:cNvPr>
        <xdr:cNvPicPr>
          <a:picLocks noChangeAspect="1"/>
        </xdr:cNvPicPr>
      </xdr:nvPicPr>
      <xdr:blipFill>
        <a:blip xmlns:r="http://schemas.openxmlformats.org/officeDocument/2006/relationships" r:embed="rId4"/>
        <a:stretch>
          <a:fillRect/>
        </a:stretch>
      </xdr:blipFill>
      <xdr:spPr>
        <a:xfrm>
          <a:off x="4229100" y="3324225"/>
          <a:ext cx="4133850" cy="657225"/>
        </a:xfrm>
        <a:prstGeom prst="rect">
          <a:avLst/>
        </a:prstGeom>
      </xdr:spPr>
    </xdr:pic>
    <xdr:clientData/>
  </xdr:twoCellAnchor>
  <xdr:twoCellAnchor editAs="oneCell">
    <xdr:from>
      <xdr:col>13</xdr:col>
      <xdr:colOff>295275</xdr:colOff>
      <xdr:row>35</xdr:row>
      <xdr:rowOff>152400</xdr:rowOff>
    </xdr:from>
    <xdr:to>
      <xdr:col>22</xdr:col>
      <xdr:colOff>104775</xdr:colOff>
      <xdr:row>47</xdr:row>
      <xdr:rowOff>57150</xdr:rowOff>
    </xdr:to>
    <xdr:pic>
      <xdr:nvPicPr>
        <xdr:cNvPr id="11" name="Image 10">
          <a:extLst>
            <a:ext uri="{FF2B5EF4-FFF2-40B4-BE49-F238E27FC236}">
              <a16:creationId xmlns:a16="http://schemas.microsoft.com/office/drawing/2014/main" id="{DE036B7C-520C-E000-6A5B-00B7EEFC616C}"/>
            </a:ext>
            <a:ext uri="{147F2762-F138-4A5C-976F-8EAC2B608ADB}">
              <a16:predDERef xmlns:a16="http://schemas.microsoft.com/office/drawing/2014/main" pred="{0F1AF9B0-9673-4A7A-F322-D851331E7433}"/>
            </a:ext>
          </a:extLst>
        </xdr:cNvPr>
        <xdr:cNvPicPr>
          <a:picLocks noChangeAspect="1"/>
        </xdr:cNvPicPr>
      </xdr:nvPicPr>
      <xdr:blipFill>
        <a:blip xmlns:r="http://schemas.openxmlformats.org/officeDocument/2006/relationships" r:embed="rId5"/>
        <a:stretch>
          <a:fillRect/>
        </a:stretch>
      </xdr:blipFill>
      <xdr:spPr>
        <a:xfrm>
          <a:off x="9039225" y="7753350"/>
          <a:ext cx="6477000" cy="2305050"/>
        </a:xfrm>
        <a:prstGeom prst="rect">
          <a:avLst/>
        </a:prstGeom>
      </xdr:spPr>
    </xdr:pic>
    <xdr:clientData/>
  </xdr:twoCellAnchor>
  <xdr:twoCellAnchor editAs="oneCell">
    <xdr:from>
      <xdr:col>13</xdr:col>
      <xdr:colOff>314325</xdr:colOff>
      <xdr:row>23</xdr:row>
      <xdr:rowOff>85725</xdr:rowOff>
    </xdr:from>
    <xdr:to>
      <xdr:col>18</xdr:col>
      <xdr:colOff>723900</xdr:colOff>
      <xdr:row>34</xdr:row>
      <xdr:rowOff>19050</xdr:rowOff>
    </xdr:to>
    <xdr:pic>
      <xdr:nvPicPr>
        <xdr:cNvPr id="2" name="Image 1">
          <a:extLst>
            <a:ext uri="{FF2B5EF4-FFF2-40B4-BE49-F238E27FC236}">
              <a16:creationId xmlns:a16="http://schemas.microsoft.com/office/drawing/2014/main" id="{E12532FE-0CD5-A83D-12A8-E196ED40BE53}"/>
            </a:ext>
            <a:ext uri="{147F2762-F138-4A5C-976F-8EAC2B608ADB}">
              <a16:predDERef xmlns:a16="http://schemas.microsoft.com/office/drawing/2014/main" pred="{DE036B7C-520C-E000-6A5B-00B7EEFC616C}"/>
            </a:ext>
          </a:extLst>
        </xdr:cNvPr>
        <xdr:cNvPicPr>
          <a:picLocks noChangeAspect="1"/>
        </xdr:cNvPicPr>
      </xdr:nvPicPr>
      <xdr:blipFill>
        <a:blip xmlns:r="http://schemas.openxmlformats.org/officeDocument/2006/relationships" r:embed="rId6"/>
        <a:stretch>
          <a:fillRect/>
        </a:stretch>
      </xdr:blipFill>
      <xdr:spPr>
        <a:xfrm>
          <a:off x="9058275" y="5286375"/>
          <a:ext cx="4562475" cy="21336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495300</xdr:colOff>
      <xdr:row>15</xdr:row>
      <xdr:rowOff>123825</xdr:rowOff>
    </xdr:from>
    <xdr:to>
      <xdr:col>6</xdr:col>
      <xdr:colOff>190500</xdr:colOff>
      <xdr:row>34</xdr:row>
      <xdr:rowOff>95250</xdr:rowOff>
    </xdr:to>
    <xdr:pic>
      <xdr:nvPicPr>
        <xdr:cNvPr id="3" name="Image 2">
          <a:extLst>
            <a:ext uri="{FF2B5EF4-FFF2-40B4-BE49-F238E27FC236}">
              <a16:creationId xmlns:a16="http://schemas.microsoft.com/office/drawing/2014/main" id="{96EFC79C-222B-16AC-FE43-A8C055A14285}"/>
            </a:ext>
          </a:extLst>
        </xdr:cNvPr>
        <xdr:cNvPicPr>
          <a:picLocks noChangeAspect="1"/>
        </xdr:cNvPicPr>
      </xdr:nvPicPr>
      <xdr:blipFill>
        <a:blip xmlns:r="http://schemas.openxmlformats.org/officeDocument/2006/relationships" r:embed="rId1"/>
        <a:stretch>
          <a:fillRect/>
        </a:stretch>
      </xdr:blipFill>
      <xdr:spPr>
        <a:xfrm>
          <a:off x="590550" y="3400425"/>
          <a:ext cx="6172200" cy="37719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66675</xdr:colOff>
      <xdr:row>6</xdr:row>
      <xdr:rowOff>0</xdr:rowOff>
    </xdr:from>
    <xdr:to>
      <xdr:col>6</xdr:col>
      <xdr:colOff>361950</xdr:colOff>
      <xdr:row>15</xdr:row>
      <xdr:rowOff>47625</xdr:rowOff>
    </xdr:to>
    <xdr:pic>
      <xdr:nvPicPr>
        <xdr:cNvPr id="2" name="Image 1">
          <a:extLst>
            <a:ext uri="{FF2B5EF4-FFF2-40B4-BE49-F238E27FC236}">
              <a16:creationId xmlns:a16="http://schemas.microsoft.com/office/drawing/2014/main" id="{AFA673E2-BB13-9B6A-FAFC-4745675DDBA8}"/>
            </a:ext>
          </a:extLst>
        </xdr:cNvPr>
        <xdr:cNvPicPr>
          <a:picLocks noChangeAspect="1"/>
        </xdr:cNvPicPr>
      </xdr:nvPicPr>
      <xdr:blipFill>
        <a:blip xmlns:r="http://schemas.openxmlformats.org/officeDocument/2006/relationships" r:embed="rId1"/>
        <a:stretch>
          <a:fillRect/>
        </a:stretch>
      </xdr:blipFill>
      <xdr:spPr>
        <a:xfrm>
          <a:off x="752475" y="2200275"/>
          <a:ext cx="3724275" cy="1847850"/>
        </a:xfrm>
        <a:prstGeom prst="rect">
          <a:avLst/>
        </a:prstGeom>
      </xdr:spPr>
    </xdr:pic>
    <xdr:clientData/>
  </xdr:twoCellAnchor>
  <xdr:twoCellAnchor editAs="oneCell">
    <xdr:from>
      <xdr:col>1</xdr:col>
      <xdr:colOff>180975</xdr:colOff>
      <xdr:row>16</xdr:row>
      <xdr:rowOff>114300</xdr:rowOff>
    </xdr:from>
    <xdr:to>
      <xdr:col>6</xdr:col>
      <xdr:colOff>238125</xdr:colOff>
      <xdr:row>26</xdr:row>
      <xdr:rowOff>152400</xdr:rowOff>
    </xdr:to>
    <xdr:pic>
      <xdr:nvPicPr>
        <xdr:cNvPr id="3" name="Image 2">
          <a:extLst>
            <a:ext uri="{FF2B5EF4-FFF2-40B4-BE49-F238E27FC236}">
              <a16:creationId xmlns:a16="http://schemas.microsoft.com/office/drawing/2014/main" id="{323AEE57-EFDC-18BD-FAF8-85A96FB07B59}"/>
            </a:ext>
            <a:ext uri="{147F2762-F138-4A5C-976F-8EAC2B608ADB}">
              <a16:predDERef xmlns:a16="http://schemas.microsoft.com/office/drawing/2014/main" pred="{AFA673E2-BB13-9B6A-FAFC-4745675DDBA8}"/>
            </a:ext>
          </a:extLst>
        </xdr:cNvPr>
        <xdr:cNvPicPr>
          <a:picLocks noChangeAspect="1"/>
        </xdr:cNvPicPr>
      </xdr:nvPicPr>
      <xdr:blipFill>
        <a:blip xmlns:r="http://schemas.openxmlformats.org/officeDocument/2006/relationships" r:embed="rId2"/>
        <a:stretch>
          <a:fillRect/>
        </a:stretch>
      </xdr:blipFill>
      <xdr:spPr>
        <a:xfrm>
          <a:off x="866775" y="4314825"/>
          <a:ext cx="3486150" cy="2038350"/>
        </a:xfrm>
        <a:prstGeom prst="rect">
          <a:avLst/>
        </a:prstGeom>
      </xdr:spPr>
    </xdr:pic>
    <xdr:clientData/>
  </xdr:twoCellAnchor>
  <xdr:twoCellAnchor editAs="oneCell">
    <xdr:from>
      <xdr:col>1</xdr:col>
      <xdr:colOff>209550</xdr:colOff>
      <xdr:row>28</xdr:row>
      <xdr:rowOff>114300</xdr:rowOff>
    </xdr:from>
    <xdr:to>
      <xdr:col>6</xdr:col>
      <xdr:colOff>485775</xdr:colOff>
      <xdr:row>33</xdr:row>
      <xdr:rowOff>171450</xdr:rowOff>
    </xdr:to>
    <xdr:pic>
      <xdr:nvPicPr>
        <xdr:cNvPr id="4" name="Image 3">
          <a:extLst>
            <a:ext uri="{FF2B5EF4-FFF2-40B4-BE49-F238E27FC236}">
              <a16:creationId xmlns:a16="http://schemas.microsoft.com/office/drawing/2014/main" id="{220784C7-85BE-B617-6A08-52B01698DCD6}"/>
            </a:ext>
            <a:ext uri="{147F2762-F138-4A5C-976F-8EAC2B608ADB}">
              <a16:predDERef xmlns:a16="http://schemas.microsoft.com/office/drawing/2014/main" pred="{323AEE57-EFDC-18BD-FAF8-85A96FB07B59}"/>
            </a:ext>
          </a:extLst>
        </xdr:cNvPr>
        <xdr:cNvPicPr>
          <a:picLocks noChangeAspect="1"/>
        </xdr:cNvPicPr>
      </xdr:nvPicPr>
      <xdr:blipFill>
        <a:blip xmlns:r="http://schemas.openxmlformats.org/officeDocument/2006/relationships" r:embed="rId3"/>
        <a:stretch>
          <a:fillRect/>
        </a:stretch>
      </xdr:blipFill>
      <xdr:spPr>
        <a:xfrm>
          <a:off x="895350" y="6715125"/>
          <a:ext cx="3705225" cy="1057275"/>
        </a:xfrm>
        <a:prstGeom prst="rect">
          <a:avLst/>
        </a:prstGeom>
      </xdr:spPr>
    </xdr:pic>
    <xdr:clientData/>
  </xdr:twoCellAnchor>
  <xdr:twoCellAnchor editAs="oneCell">
    <xdr:from>
      <xdr:col>1</xdr:col>
      <xdr:colOff>95250</xdr:colOff>
      <xdr:row>34</xdr:row>
      <xdr:rowOff>85725</xdr:rowOff>
    </xdr:from>
    <xdr:to>
      <xdr:col>6</xdr:col>
      <xdr:colOff>504825</xdr:colOff>
      <xdr:row>44</xdr:row>
      <xdr:rowOff>104775</xdr:rowOff>
    </xdr:to>
    <xdr:pic>
      <xdr:nvPicPr>
        <xdr:cNvPr id="5" name="Image 4">
          <a:extLst>
            <a:ext uri="{FF2B5EF4-FFF2-40B4-BE49-F238E27FC236}">
              <a16:creationId xmlns:a16="http://schemas.microsoft.com/office/drawing/2014/main" id="{55A919BF-A9A0-2AB8-DA11-8FF65E371491}"/>
            </a:ext>
            <a:ext uri="{147F2762-F138-4A5C-976F-8EAC2B608ADB}">
              <a16:predDERef xmlns:a16="http://schemas.microsoft.com/office/drawing/2014/main" pred="{220784C7-85BE-B617-6A08-52B01698DCD6}"/>
            </a:ext>
          </a:extLst>
        </xdr:cNvPr>
        <xdr:cNvPicPr>
          <a:picLocks noChangeAspect="1"/>
        </xdr:cNvPicPr>
      </xdr:nvPicPr>
      <xdr:blipFill>
        <a:blip xmlns:r="http://schemas.openxmlformats.org/officeDocument/2006/relationships" r:embed="rId4"/>
        <a:stretch>
          <a:fillRect/>
        </a:stretch>
      </xdr:blipFill>
      <xdr:spPr>
        <a:xfrm>
          <a:off x="781050" y="7886700"/>
          <a:ext cx="3838575" cy="2019300"/>
        </a:xfrm>
        <a:prstGeom prst="rect">
          <a:avLst/>
        </a:prstGeom>
      </xdr:spPr>
    </xdr:pic>
    <xdr:clientData/>
  </xdr:twoCellAnchor>
  <xdr:twoCellAnchor editAs="oneCell">
    <xdr:from>
      <xdr:col>0</xdr:col>
      <xdr:colOff>495300</xdr:colOff>
      <xdr:row>46</xdr:row>
      <xdr:rowOff>190500</xdr:rowOff>
    </xdr:from>
    <xdr:to>
      <xdr:col>7</xdr:col>
      <xdr:colOff>457200</xdr:colOff>
      <xdr:row>56</xdr:row>
      <xdr:rowOff>66675</xdr:rowOff>
    </xdr:to>
    <xdr:pic>
      <xdr:nvPicPr>
        <xdr:cNvPr id="6" name="Image 5">
          <a:extLst>
            <a:ext uri="{FF2B5EF4-FFF2-40B4-BE49-F238E27FC236}">
              <a16:creationId xmlns:a16="http://schemas.microsoft.com/office/drawing/2014/main" id="{AF86AEAF-EF54-40F1-BE17-15C215AC6638}"/>
            </a:ext>
            <a:ext uri="{147F2762-F138-4A5C-976F-8EAC2B608ADB}">
              <a16:predDERef xmlns:a16="http://schemas.microsoft.com/office/drawing/2014/main" pred="{55A919BF-A9A0-2AB8-DA11-8FF65E371491}"/>
            </a:ext>
          </a:extLst>
        </xdr:cNvPr>
        <xdr:cNvPicPr>
          <a:picLocks noChangeAspect="1"/>
        </xdr:cNvPicPr>
      </xdr:nvPicPr>
      <xdr:blipFill>
        <a:blip xmlns:r="http://schemas.openxmlformats.org/officeDocument/2006/relationships" r:embed="rId5"/>
        <a:stretch>
          <a:fillRect/>
        </a:stretch>
      </xdr:blipFill>
      <xdr:spPr>
        <a:xfrm>
          <a:off x="495300" y="10391775"/>
          <a:ext cx="4572000" cy="1876425"/>
        </a:xfrm>
        <a:prstGeom prst="rect">
          <a:avLst/>
        </a:prstGeom>
      </xdr:spPr>
    </xdr:pic>
    <xdr:clientData/>
  </xdr:twoCellAnchor>
  <xdr:twoCellAnchor editAs="oneCell">
    <xdr:from>
      <xdr:col>1</xdr:col>
      <xdr:colOff>171450</xdr:colOff>
      <xdr:row>57</xdr:row>
      <xdr:rowOff>95250</xdr:rowOff>
    </xdr:from>
    <xdr:to>
      <xdr:col>6</xdr:col>
      <xdr:colOff>419100</xdr:colOff>
      <xdr:row>80</xdr:row>
      <xdr:rowOff>66675</xdr:rowOff>
    </xdr:to>
    <xdr:pic>
      <xdr:nvPicPr>
        <xdr:cNvPr id="7" name="Image 6">
          <a:extLst>
            <a:ext uri="{FF2B5EF4-FFF2-40B4-BE49-F238E27FC236}">
              <a16:creationId xmlns:a16="http://schemas.microsoft.com/office/drawing/2014/main" id="{D75559FE-7D45-A126-4BC7-2E97D7A1F35A}"/>
            </a:ext>
            <a:ext uri="{147F2762-F138-4A5C-976F-8EAC2B608ADB}">
              <a16:predDERef xmlns:a16="http://schemas.microsoft.com/office/drawing/2014/main" pred="{AF86AEAF-EF54-40F1-BE17-15C215AC6638}"/>
            </a:ext>
          </a:extLst>
        </xdr:cNvPr>
        <xdr:cNvPicPr>
          <a:picLocks noChangeAspect="1"/>
        </xdr:cNvPicPr>
      </xdr:nvPicPr>
      <xdr:blipFill>
        <a:blip xmlns:r="http://schemas.openxmlformats.org/officeDocument/2006/relationships" r:embed="rId6"/>
        <a:stretch>
          <a:fillRect/>
        </a:stretch>
      </xdr:blipFill>
      <xdr:spPr>
        <a:xfrm>
          <a:off x="857250" y="12496800"/>
          <a:ext cx="3676650" cy="4572000"/>
        </a:xfrm>
        <a:prstGeom prst="rect">
          <a:avLst/>
        </a:prstGeom>
      </xdr:spPr>
    </xdr:pic>
    <xdr:clientData/>
  </xdr:twoCellAnchor>
  <xdr:twoCellAnchor editAs="oneCell">
    <xdr:from>
      <xdr:col>1</xdr:col>
      <xdr:colOff>228600</xdr:colOff>
      <xdr:row>81</xdr:row>
      <xdr:rowOff>142875</xdr:rowOff>
    </xdr:from>
    <xdr:to>
      <xdr:col>6</xdr:col>
      <xdr:colOff>428625</xdr:colOff>
      <xdr:row>87</xdr:row>
      <xdr:rowOff>180975</xdr:rowOff>
    </xdr:to>
    <xdr:pic>
      <xdr:nvPicPr>
        <xdr:cNvPr id="8" name="Image 7">
          <a:extLst>
            <a:ext uri="{FF2B5EF4-FFF2-40B4-BE49-F238E27FC236}">
              <a16:creationId xmlns:a16="http://schemas.microsoft.com/office/drawing/2014/main" id="{62CF4D6D-9C31-A99A-30F6-32315B6F2D4F}"/>
            </a:ext>
            <a:ext uri="{147F2762-F138-4A5C-976F-8EAC2B608ADB}">
              <a16:predDERef xmlns:a16="http://schemas.microsoft.com/office/drawing/2014/main" pred="{D75559FE-7D45-A126-4BC7-2E97D7A1F35A}"/>
            </a:ext>
          </a:extLst>
        </xdr:cNvPr>
        <xdr:cNvPicPr>
          <a:picLocks noChangeAspect="1"/>
        </xdr:cNvPicPr>
      </xdr:nvPicPr>
      <xdr:blipFill>
        <a:blip xmlns:r="http://schemas.openxmlformats.org/officeDocument/2006/relationships" r:embed="rId7"/>
        <a:stretch>
          <a:fillRect/>
        </a:stretch>
      </xdr:blipFill>
      <xdr:spPr>
        <a:xfrm>
          <a:off x="914400" y="17345025"/>
          <a:ext cx="3629025" cy="1238250"/>
        </a:xfrm>
        <a:prstGeom prst="rect">
          <a:avLst/>
        </a:prstGeom>
      </xdr:spPr>
    </xdr:pic>
    <xdr:clientData/>
  </xdr:twoCellAnchor>
  <xdr:twoCellAnchor editAs="oneCell">
    <xdr:from>
      <xdr:col>1</xdr:col>
      <xdr:colOff>76200</xdr:colOff>
      <xdr:row>89</xdr:row>
      <xdr:rowOff>9525</xdr:rowOff>
    </xdr:from>
    <xdr:to>
      <xdr:col>6</xdr:col>
      <xdr:colOff>438150</xdr:colOff>
      <xdr:row>91</xdr:row>
      <xdr:rowOff>76200</xdr:rowOff>
    </xdr:to>
    <xdr:pic>
      <xdr:nvPicPr>
        <xdr:cNvPr id="9" name="Image 8">
          <a:extLst>
            <a:ext uri="{FF2B5EF4-FFF2-40B4-BE49-F238E27FC236}">
              <a16:creationId xmlns:a16="http://schemas.microsoft.com/office/drawing/2014/main" id="{9D0CAC54-6B0E-87C1-82E4-1B2A1EF2B2CA}"/>
            </a:ext>
            <a:ext uri="{147F2762-F138-4A5C-976F-8EAC2B608ADB}">
              <a16:predDERef xmlns:a16="http://schemas.microsoft.com/office/drawing/2014/main" pred="{62CF4D6D-9C31-A99A-30F6-32315B6F2D4F}"/>
            </a:ext>
          </a:extLst>
        </xdr:cNvPr>
        <xdr:cNvPicPr>
          <a:picLocks noChangeAspect="1"/>
        </xdr:cNvPicPr>
      </xdr:nvPicPr>
      <xdr:blipFill>
        <a:blip xmlns:r="http://schemas.openxmlformats.org/officeDocument/2006/relationships" r:embed="rId8"/>
        <a:stretch>
          <a:fillRect/>
        </a:stretch>
      </xdr:blipFill>
      <xdr:spPr>
        <a:xfrm>
          <a:off x="762000" y="18811875"/>
          <a:ext cx="3790950" cy="466725"/>
        </a:xfrm>
        <a:prstGeom prst="rect">
          <a:avLst/>
        </a:prstGeom>
      </xdr:spPr>
    </xdr:pic>
    <xdr:clientData/>
  </xdr:twoCellAnchor>
  <xdr:twoCellAnchor editAs="oneCell">
    <xdr:from>
      <xdr:col>1</xdr:col>
      <xdr:colOff>285750</xdr:colOff>
      <xdr:row>92</xdr:row>
      <xdr:rowOff>85725</xdr:rowOff>
    </xdr:from>
    <xdr:to>
      <xdr:col>6</xdr:col>
      <xdr:colOff>361950</xdr:colOff>
      <xdr:row>105</xdr:row>
      <xdr:rowOff>28575</xdr:rowOff>
    </xdr:to>
    <xdr:pic>
      <xdr:nvPicPr>
        <xdr:cNvPr id="10" name="Image 9">
          <a:extLst>
            <a:ext uri="{FF2B5EF4-FFF2-40B4-BE49-F238E27FC236}">
              <a16:creationId xmlns:a16="http://schemas.microsoft.com/office/drawing/2014/main" id="{2EA9E0C6-3830-AE26-4124-B1D9CCA52331}"/>
            </a:ext>
            <a:ext uri="{147F2762-F138-4A5C-976F-8EAC2B608ADB}">
              <a16:predDERef xmlns:a16="http://schemas.microsoft.com/office/drawing/2014/main" pred="{9D0CAC54-6B0E-87C1-82E4-1B2A1EF2B2CA}"/>
            </a:ext>
          </a:extLst>
        </xdr:cNvPr>
        <xdr:cNvPicPr>
          <a:picLocks noChangeAspect="1"/>
        </xdr:cNvPicPr>
      </xdr:nvPicPr>
      <xdr:blipFill>
        <a:blip xmlns:r="http://schemas.openxmlformats.org/officeDocument/2006/relationships" r:embed="rId9"/>
        <a:stretch>
          <a:fillRect/>
        </a:stretch>
      </xdr:blipFill>
      <xdr:spPr>
        <a:xfrm>
          <a:off x="971550" y="19488150"/>
          <a:ext cx="3505200" cy="2543175"/>
        </a:xfrm>
        <a:prstGeom prst="rect">
          <a:avLst/>
        </a:prstGeom>
      </xdr:spPr>
    </xdr:pic>
    <xdr:clientData/>
  </xdr:twoCellAnchor>
  <xdr:twoCellAnchor editAs="oneCell">
    <xdr:from>
      <xdr:col>0</xdr:col>
      <xdr:colOff>495300</xdr:colOff>
      <xdr:row>106</xdr:row>
      <xdr:rowOff>123825</xdr:rowOff>
    </xdr:from>
    <xdr:to>
      <xdr:col>7</xdr:col>
      <xdr:colOff>457200</xdr:colOff>
      <xdr:row>116</xdr:row>
      <xdr:rowOff>57150</xdr:rowOff>
    </xdr:to>
    <xdr:pic>
      <xdr:nvPicPr>
        <xdr:cNvPr id="11" name="Image 10">
          <a:extLst>
            <a:ext uri="{FF2B5EF4-FFF2-40B4-BE49-F238E27FC236}">
              <a16:creationId xmlns:a16="http://schemas.microsoft.com/office/drawing/2014/main" id="{5B8F3BB2-D310-5ED4-C9F7-B15DF9ABABF0}"/>
            </a:ext>
            <a:ext uri="{147F2762-F138-4A5C-976F-8EAC2B608ADB}">
              <a16:predDERef xmlns:a16="http://schemas.microsoft.com/office/drawing/2014/main" pred="{2EA9E0C6-3830-AE26-4124-B1D9CCA52331}"/>
            </a:ext>
          </a:extLst>
        </xdr:cNvPr>
        <xdr:cNvPicPr>
          <a:picLocks noChangeAspect="1"/>
        </xdr:cNvPicPr>
      </xdr:nvPicPr>
      <xdr:blipFill>
        <a:blip xmlns:r="http://schemas.openxmlformats.org/officeDocument/2006/relationships" r:embed="rId10"/>
        <a:stretch>
          <a:fillRect/>
        </a:stretch>
      </xdr:blipFill>
      <xdr:spPr>
        <a:xfrm>
          <a:off x="495300" y="22326600"/>
          <a:ext cx="4572000" cy="1933575"/>
        </a:xfrm>
        <a:prstGeom prst="rect">
          <a:avLst/>
        </a:prstGeom>
      </xdr:spPr>
    </xdr:pic>
    <xdr:clientData/>
  </xdr:twoCellAnchor>
  <xdr:twoCellAnchor editAs="oneCell">
    <xdr:from>
      <xdr:col>10</xdr:col>
      <xdr:colOff>104775</xdr:colOff>
      <xdr:row>4</xdr:row>
      <xdr:rowOff>180975</xdr:rowOff>
    </xdr:from>
    <xdr:to>
      <xdr:col>14</xdr:col>
      <xdr:colOff>600075</xdr:colOff>
      <xdr:row>15</xdr:row>
      <xdr:rowOff>133350</xdr:rowOff>
    </xdr:to>
    <xdr:pic>
      <xdr:nvPicPr>
        <xdr:cNvPr id="12" name="Image 11">
          <a:extLst>
            <a:ext uri="{FF2B5EF4-FFF2-40B4-BE49-F238E27FC236}">
              <a16:creationId xmlns:a16="http://schemas.microsoft.com/office/drawing/2014/main" id="{67CC450F-45BB-6AFA-AC11-BADE9BE033E4}"/>
            </a:ext>
            <a:ext uri="{147F2762-F138-4A5C-976F-8EAC2B608ADB}">
              <a16:predDERef xmlns:a16="http://schemas.microsoft.com/office/drawing/2014/main" pred="{5B8F3BB2-D310-5ED4-C9F7-B15DF9ABABF0}"/>
            </a:ext>
          </a:extLst>
        </xdr:cNvPr>
        <xdr:cNvPicPr>
          <a:picLocks noChangeAspect="1"/>
        </xdr:cNvPicPr>
      </xdr:nvPicPr>
      <xdr:blipFill>
        <a:blip xmlns:r="http://schemas.openxmlformats.org/officeDocument/2006/relationships" r:embed="rId11"/>
        <a:stretch>
          <a:fillRect/>
        </a:stretch>
      </xdr:blipFill>
      <xdr:spPr>
        <a:xfrm>
          <a:off x="6962775" y="981075"/>
          <a:ext cx="3238500" cy="2152650"/>
        </a:xfrm>
        <a:prstGeom prst="rect">
          <a:avLst/>
        </a:prstGeom>
      </xdr:spPr>
    </xdr:pic>
    <xdr:clientData/>
  </xdr:twoCellAnchor>
  <xdr:twoCellAnchor editAs="oneCell">
    <xdr:from>
      <xdr:col>7</xdr:col>
      <xdr:colOff>647700</xdr:colOff>
      <xdr:row>16</xdr:row>
      <xdr:rowOff>57150</xdr:rowOff>
    </xdr:from>
    <xdr:to>
      <xdr:col>16</xdr:col>
      <xdr:colOff>438150</xdr:colOff>
      <xdr:row>24</xdr:row>
      <xdr:rowOff>85725</xdr:rowOff>
    </xdr:to>
    <xdr:pic>
      <xdr:nvPicPr>
        <xdr:cNvPr id="13" name="Image 12">
          <a:extLst>
            <a:ext uri="{FF2B5EF4-FFF2-40B4-BE49-F238E27FC236}">
              <a16:creationId xmlns:a16="http://schemas.microsoft.com/office/drawing/2014/main" id="{A5E35FE8-8D34-8A00-4724-71E0E297C15C}"/>
            </a:ext>
            <a:ext uri="{147F2762-F138-4A5C-976F-8EAC2B608ADB}">
              <a16:predDERef xmlns:a16="http://schemas.microsoft.com/office/drawing/2014/main" pred="{67CC450F-45BB-6AFA-AC11-BADE9BE033E4}"/>
            </a:ext>
          </a:extLst>
        </xdr:cNvPr>
        <xdr:cNvPicPr>
          <a:picLocks noChangeAspect="1"/>
        </xdr:cNvPicPr>
      </xdr:nvPicPr>
      <xdr:blipFill>
        <a:blip xmlns:r="http://schemas.openxmlformats.org/officeDocument/2006/relationships" r:embed="rId12"/>
        <a:stretch>
          <a:fillRect/>
        </a:stretch>
      </xdr:blipFill>
      <xdr:spPr>
        <a:xfrm>
          <a:off x="5448300" y="3257550"/>
          <a:ext cx="5962650" cy="1628775"/>
        </a:xfrm>
        <a:prstGeom prst="rect">
          <a:avLst/>
        </a:prstGeom>
      </xdr:spPr>
    </xdr:pic>
    <xdr:clientData/>
  </xdr:twoCellAnchor>
  <xdr:twoCellAnchor editAs="oneCell">
    <xdr:from>
      <xdr:col>9</xdr:col>
      <xdr:colOff>438150</xdr:colOff>
      <xdr:row>25</xdr:row>
      <xdr:rowOff>152400</xdr:rowOff>
    </xdr:from>
    <xdr:to>
      <xdr:col>14</xdr:col>
      <xdr:colOff>647700</xdr:colOff>
      <xdr:row>32</xdr:row>
      <xdr:rowOff>104775</xdr:rowOff>
    </xdr:to>
    <xdr:pic>
      <xdr:nvPicPr>
        <xdr:cNvPr id="14" name="Image 13">
          <a:extLst>
            <a:ext uri="{FF2B5EF4-FFF2-40B4-BE49-F238E27FC236}">
              <a16:creationId xmlns:a16="http://schemas.microsoft.com/office/drawing/2014/main" id="{2FC2AA9E-6DFF-0CCD-7F2D-039BEA00D30C}"/>
            </a:ext>
            <a:ext uri="{147F2762-F138-4A5C-976F-8EAC2B608ADB}">
              <a16:predDERef xmlns:a16="http://schemas.microsoft.com/office/drawing/2014/main" pred="{A5E35FE8-8D34-8A00-4724-71E0E297C15C}"/>
            </a:ext>
          </a:extLst>
        </xdr:cNvPr>
        <xdr:cNvPicPr>
          <a:picLocks noChangeAspect="1"/>
        </xdr:cNvPicPr>
      </xdr:nvPicPr>
      <xdr:blipFill>
        <a:blip xmlns:r="http://schemas.openxmlformats.org/officeDocument/2006/relationships" r:embed="rId13"/>
        <a:stretch>
          <a:fillRect/>
        </a:stretch>
      </xdr:blipFill>
      <xdr:spPr>
        <a:xfrm>
          <a:off x="6610350" y="5153025"/>
          <a:ext cx="3638550" cy="135255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209550</xdr:colOff>
      <xdr:row>26</xdr:row>
      <xdr:rowOff>171450</xdr:rowOff>
    </xdr:from>
    <xdr:to>
      <xdr:col>7</xdr:col>
      <xdr:colOff>428625</xdr:colOff>
      <xdr:row>47</xdr:row>
      <xdr:rowOff>57150</xdr:rowOff>
    </xdr:to>
    <xdr:pic>
      <xdr:nvPicPr>
        <xdr:cNvPr id="3" name="Image 2">
          <a:extLst>
            <a:ext uri="{FF2B5EF4-FFF2-40B4-BE49-F238E27FC236}">
              <a16:creationId xmlns:a16="http://schemas.microsoft.com/office/drawing/2014/main" id="{ADC8215B-FCE3-03A7-1137-890756BC901B}"/>
            </a:ext>
            <a:ext uri="{147F2762-F138-4A5C-976F-8EAC2B608ADB}">
              <a16:predDERef xmlns:a16="http://schemas.microsoft.com/office/drawing/2014/main" pred="{02976764-E76E-D4CE-B8D6-DD3803DB13FD}"/>
            </a:ext>
          </a:extLst>
        </xdr:cNvPr>
        <xdr:cNvPicPr>
          <a:picLocks noChangeAspect="1"/>
        </xdr:cNvPicPr>
      </xdr:nvPicPr>
      <xdr:blipFill>
        <a:blip xmlns:r="http://schemas.openxmlformats.org/officeDocument/2006/relationships" r:embed="rId1"/>
        <a:stretch>
          <a:fillRect/>
        </a:stretch>
      </xdr:blipFill>
      <xdr:spPr>
        <a:xfrm>
          <a:off x="304800" y="5514975"/>
          <a:ext cx="6810375" cy="4086225"/>
        </a:xfrm>
        <a:prstGeom prst="rect">
          <a:avLst/>
        </a:prstGeom>
      </xdr:spPr>
    </xdr:pic>
    <xdr:clientData/>
  </xdr:twoCellAnchor>
  <xdr:twoCellAnchor editAs="oneCell">
    <xdr:from>
      <xdr:col>5</xdr:col>
      <xdr:colOff>247650</xdr:colOff>
      <xdr:row>14</xdr:row>
      <xdr:rowOff>133350</xdr:rowOff>
    </xdr:from>
    <xdr:to>
      <xdr:col>9</xdr:col>
      <xdr:colOff>104775</xdr:colOff>
      <xdr:row>27</xdr:row>
      <xdr:rowOff>9525</xdr:rowOff>
    </xdr:to>
    <xdr:pic>
      <xdr:nvPicPr>
        <xdr:cNvPr id="4" name="Image 3">
          <a:extLst>
            <a:ext uri="{FF2B5EF4-FFF2-40B4-BE49-F238E27FC236}">
              <a16:creationId xmlns:a16="http://schemas.microsoft.com/office/drawing/2014/main" id="{9703DC98-5329-74CC-C95A-514A634ACB8F}"/>
            </a:ext>
            <a:ext uri="{147F2762-F138-4A5C-976F-8EAC2B608ADB}">
              <a16:predDERef xmlns:a16="http://schemas.microsoft.com/office/drawing/2014/main" pred="{ADC8215B-FCE3-03A7-1137-890756BC901B}"/>
            </a:ext>
          </a:extLst>
        </xdr:cNvPr>
        <xdr:cNvPicPr>
          <a:picLocks noChangeAspect="1"/>
        </xdr:cNvPicPr>
      </xdr:nvPicPr>
      <xdr:blipFill>
        <a:blip xmlns:r="http://schemas.openxmlformats.org/officeDocument/2006/relationships" r:embed="rId2"/>
        <a:stretch>
          <a:fillRect/>
        </a:stretch>
      </xdr:blipFill>
      <xdr:spPr>
        <a:xfrm>
          <a:off x="5562600" y="3076575"/>
          <a:ext cx="3486150" cy="2476500"/>
        </a:xfrm>
        <a:prstGeom prst="rect">
          <a:avLst/>
        </a:prstGeom>
      </xdr:spPr>
    </xdr:pic>
    <xdr:clientData/>
  </xdr:twoCellAnchor>
  <xdr:twoCellAnchor editAs="oneCell">
    <xdr:from>
      <xdr:col>1</xdr:col>
      <xdr:colOff>76200</xdr:colOff>
      <xdr:row>48</xdr:row>
      <xdr:rowOff>114300</xdr:rowOff>
    </xdr:from>
    <xdr:to>
      <xdr:col>4</xdr:col>
      <xdr:colOff>104775</xdr:colOff>
      <xdr:row>53</xdr:row>
      <xdr:rowOff>9525</xdr:rowOff>
    </xdr:to>
    <xdr:pic>
      <xdr:nvPicPr>
        <xdr:cNvPr id="5" name="Image 4">
          <a:extLst>
            <a:ext uri="{FF2B5EF4-FFF2-40B4-BE49-F238E27FC236}">
              <a16:creationId xmlns:a16="http://schemas.microsoft.com/office/drawing/2014/main" id="{00EE1D12-1181-0E79-948C-8046BE26DB45}"/>
            </a:ext>
            <a:ext uri="{147F2762-F138-4A5C-976F-8EAC2B608ADB}">
              <a16:predDERef xmlns:a16="http://schemas.microsoft.com/office/drawing/2014/main" pred="{9703DC98-5329-74CC-C95A-514A634ACB8F}"/>
            </a:ext>
          </a:extLst>
        </xdr:cNvPr>
        <xdr:cNvPicPr>
          <a:picLocks noChangeAspect="1"/>
        </xdr:cNvPicPr>
      </xdr:nvPicPr>
      <xdr:blipFill>
        <a:blip xmlns:r="http://schemas.openxmlformats.org/officeDocument/2006/relationships" r:embed="rId3"/>
        <a:stretch>
          <a:fillRect/>
        </a:stretch>
      </xdr:blipFill>
      <xdr:spPr>
        <a:xfrm>
          <a:off x="171450" y="9858375"/>
          <a:ext cx="4562475" cy="895350"/>
        </a:xfrm>
        <a:prstGeom prst="rect">
          <a:avLst/>
        </a:prstGeom>
      </xdr:spPr>
    </xdr:pic>
    <xdr:clientData/>
  </xdr:twoCellAnchor>
  <xdr:twoCellAnchor editAs="oneCell">
    <xdr:from>
      <xdr:col>1</xdr:col>
      <xdr:colOff>333375</xdr:colOff>
      <xdr:row>54</xdr:row>
      <xdr:rowOff>95250</xdr:rowOff>
    </xdr:from>
    <xdr:to>
      <xdr:col>4</xdr:col>
      <xdr:colOff>371475</xdr:colOff>
      <xdr:row>60</xdr:row>
      <xdr:rowOff>114300</xdr:rowOff>
    </xdr:to>
    <xdr:pic>
      <xdr:nvPicPr>
        <xdr:cNvPr id="6" name="Image 5">
          <a:extLst>
            <a:ext uri="{FF2B5EF4-FFF2-40B4-BE49-F238E27FC236}">
              <a16:creationId xmlns:a16="http://schemas.microsoft.com/office/drawing/2014/main" id="{2891C0E0-E17D-BCCC-D1C4-2E4D3AB4ACA3}"/>
            </a:ext>
            <a:ext uri="{147F2762-F138-4A5C-976F-8EAC2B608ADB}">
              <a16:predDERef xmlns:a16="http://schemas.microsoft.com/office/drawing/2014/main" pred="{00EE1D12-1181-0E79-948C-8046BE26DB45}"/>
            </a:ext>
          </a:extLst>
        </xdr:cNvPr>
        <xdr:cNvPicPr>
          <a:picLocks noChangeAspect="1"/>
        </xdr:cNvPicPr>
      </xdr:nvPicPr>
      <xdr:blipFill>
        <a:blip xmlns:r="http://schemas.openxmlformats.org/officeDocument/2006/relationships" r:embed="rId4"/>
        <a:stretch>
          <a:fillRect/>
        </a:stretch>
      </xdr:blipFill>
      <xdr:spPr>
        <a:xfrm>
          <a:off x="428625" y="11039475"/>
          <a:ext cx="4572000" cy="1219200"/>
        </a:xfrm>
        <a:prstGeom prst="rect">
          <a:avLst/>
        </a:prstGeom>
      </xdr:spPr>
    </xdr:pic>
    <xdr:clientData/>
  </xdr:twoCellAnchor>
  <xdr:twoCellAnchor editAs="oneCell">
    <xdr:from>
      <xdr:col>1</xdr:col>
      <xdr:colOff>76200</xdr:colOff>
      <xdr:row>61</xdr:row>
      <xdr:rowOff>76200</xdr:rowOff>
    </xdr:from>
    <xdr:to>
      <xdr:col>4</xdr:col>
      <xdr:colOff>19050</xdr:colOff>
      <xdr:row>68</xdr:row>
      <xdr:rowOff>47625</xdr:rowOff>
    </xdr:to>
    <xdr:pic>
      <xdr:nvPicPr>
        <xdr:cNvPr id="7" name="Image 6">
          <a:extLst>
            <a:ext uri="{FF2B5EF4-FFF2-40B4-BE49-F238E27FC236}">
              <a16:creationId xmlns:a16="http://schemas.microsoft.com/office/drawing/2014/main" id="{89DAB6A7-513B-48D5-D761-57F318DC4003}"/>
            </a:ext>
            <a:ext uri="{147F2762-F138-4A5C-976F-8EAC2B608ADB}">
              <a16:predDERef xmlns:a16="http://schemas.microsoft.com/office/drawing/2014/main" pred="{2891C0E0-E17D-BCCC-D1C4-2E4D3AB4ACA3}"/>
            </a:ext>
          </a:extLst>
        </xdr:cNvPr>
        <xdr:cNvPicPr>
          <a:picLocks noChangeAspect="1"/>
        </xdr:cNvPicPr>
      </xdr:nvPicPr>
      <xdr:blipFill>
        <a:blip xmlns:r="http://schemas.openxmlformats.org/officeDocument/2006/relationships" r:embed="rId5"/>
        <a:stretch>
          <a:fillRect/>
        </a:stretch>
      </xdr:blipFill>
      <xdr:spPr>
        <a:xfrm>
          <a:off x="171450" y="12420600"/>
          <a:ext cx="4476750" cy="1371600"/>
        </a:xfrm>
        <a:prstGeom prst="rect">
          <a:avLst/>
        </a:prstGeom>
      </xdr:spPr>
    </xdr:pic>
    <xdr:clientData/>
  </xdr:twoCellAnchor>
  <xdr:twoCellAnchor editAs="oneCell">
    <xdr:from>
      <xdr:col>1</xdr:col>
      <xdr:colOff>142875</xdr:colOff>
      <xdr:row>69</xdr:row>
      <xdr:rowOff>190500</xdr:rowOff>
    </xdr:from>
    <xdr:to>
      <xdr:col>4</xdr:col>
      <xdr:colOff>95250</xdr:colOff>
      <xdr:row>73</xdr:row>
      <xdr:rowOff>85725</xdr:rowOff>
    </xdr:to>
    <xdr:pic>
      <xdr:nvPicPr>
        <xdr:cNvPr id="8" name="Image 7">
          <a:extLst>
            <a:ext uri="{FF2B5EF4-FFF2-40B4-BE49-F238E27FC236}">
              <a16:creationId xmlns:a16="http://schemas.microsoft.com/office/drawing/2014/main" id="{616D04EB-6823-D4E9-778D-65B8F73C7A3F}"/>
            </a:ext>
            <a:ext uri="{147F2762-F138-4A5C-976F-8EAC2B608ADB}">
              <a16:predDERef xmlns:a16="http://schemas.microsoft.com/office/drawing/2014/main" pred="{89DAB6A7-513B-48D5-D761-57F318DC4003}"/>
            </a:ext>
          </a:extLst>
        </xdr:cNvPr>
        <xdr:cNvPicPr>
          <a:picLocks noChangeAspect="1"/>
        </xdr:cNvPicPr>
      </xdr:nvPicPr>
      <xdr:blipFill>
        <a:blip xmlns:r="http://schemas.openxmlformats.org/officeDocument/2006/relationships" r:embed="rId6"/>
        <a:stretch>
          <a:fillRect/>
        </a:stretch>
      </xdr:blipFill>
      <xdr:spPr>
        <a:xfrm>
          <a:off x="238125" y="14135100"/>
          <a:ext cx="4486275" cy="695325"/>
        </a:xfrm>
        <a:prstGeom prst="rect">
          <a:avLst/>
        </a:prstGeom>
      </xdr:spPr>
    </xdr:pic>
    <xdr:clientData/>
  </xdr:twoCellAnchor>
  <xdr:twoCellAnchor editAs="oneCell">
    <xdr:from>
      <xdr:col>1</xdr:col>
      <xdr:colOff>228600</xdr:colOff>
      <xdr:row>15</xdr:row>
      <xdr:rowOff>66675</xdr:rowOff>
    </xdr:from>
    <xdr:to>
      <xdr:col>4</xdr:col>
      <xdr:colOff>266700</xdr:colOff>
      <xdr:row>26</xdr:row>
      <xdr:rowOff>0</xdr:rowOff>
    </xdr:to>
    <xdr:pic>
      <xdr:nvPicPr>
        <xdr:cNvPr id="9" name="Image 8">
          <a:extLst>
            <a:ext uri="{FF2B5EF4-FFF2-40B4-BE49-F238E27FC236}">
              <a16:creationId xmlns:a16="http://schemas.microsoft.com/office/drawing/2014/main" id="{0184D796-8853-9949-9519-AB29EA4FF522}"/>
            </a:ext>
            <a:ext uri="{147F2762-F138-4A5C-976F-8EAC2B608ADB}">
              <a16:predDERef xmlns:a16="http://schemas.microsoft.com/office/drawing/2014/main" pred="{616D04EB-6823-D4E9-778D-65B8F73C7A3F}"/>
            </a:ext>
          </a:extLst>
        </xdr:cNvPr>
        <xdr:cNvPicPr>
          <a:picLocks noChangeAspect="1"/>
        </xdr:cNvPicPr>
      </xdr:nvPicPr>
      <xdr:blipFill>
        <a:blip xmlns:r="http://schemas.openxmlformats.org/officeDocument/2006/relationships" r:embed="rId7"/>
        <a:stretch>
          <a:fillRect/>
        </a:stretch>
      </xdr:blipFill>
      <xdr:spPr>
        <a:xfrm>
          <a:off x="323850" y="3209925"/>
          <a:ext cx="4572000" cy="21336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371475</xdr:colOff>
      <xdr:row>4</xdr:row>
      <xdr:rowOff>133350</xdr:rowOff>
    </xdr:from>
    <xdr:to>
      <xdr:col>14</xdr:col>
      <xdr:colOff>485775</xdr:colOff>
      <xdr:row>24</xdr:row>
      <xdr:rowOff>133350</xdr:rowOff>
    </xdr:to>
    <xdr:pic>
      <xdr:nvPicPr>
        <xdr:cNvPr id="4" name="Image 1">
          <a:extLst>
            <a:ext uri="{FF2B5EF4-FFF2-40B4-BE49-F238E27FC236}">
              <a16:creationId xmlns:a16="http://schemas.microsoft.com/office/drawing/2014/main" id="{816D2595-E4D2-4C37-9F29-DA79FE6A864F}"/>
            </a:ext>
          </a:extLst>
        </xdr:cNvPr>
        <xdr:cNvPicPr>
          <a:picLocks noChangeAspect="1"/>
        </xdr:cNvPicPr>
      </xdr:nvPicPr>
      <xdr:blipFill>
        <a:blip xmlns:r="http://schemas.openxmlformats.org/officeDocument/2006/relationships" r:embed="rId1"/>
        <a:stretch>
          <a:fillRect/>
        </a:stretch>
      </xdr:blipFill>
      <xdr:spPr>
        <a:xfrm>
          <a:off x="466725" y="1552575"/>
          <a:ext cx="9029700" cy="4000500"/>
        </a:xfrm>
        <a:prstGeom prst="rect">
          <a:avLst/>
        </a:prstGeom>
      </xdr:spPr>
    </xdr:pic>
    <xdr:clientData/>
  </xdr:twoCellAnchor>
  <xdr:twoCellAnchor editAs="oneCell">
    <xdr:from>
      <xdr:col>15</xdr:col>
      <xdr:colOff>600075</xdr:colOff>
      <xdr:row>40</xdr:row>
      <xdr:rowOff>123825</xdr:rowOff>
    </xdr:from>
    <xdr:to>
      <xdr:col>24</xdr:col>
      <xdr:colOff>371475</xdr:colOff>
      <xdr:row>74</xdr:row>
      <xdr:rowOff>38100</xdr:rowOff>
    </xdr:to>
    <xdr:pic>
      <xdr:nvPicPr>
        <xdr:cNvPr id="3" name="Image 2">
          <a:extLst>
            <a:ext uri="{FF2B5EF4-FFF2-40B4-BE49-F238E27FC236}">
              <a16:creationId xmlns:a16="http://schemas.microsoft.com/office/drawing/2014/main" id="{C2D0969C-0539-4E66-A12C-22DE7028D37D}"/>
            </a:ext>
            <a:ext uri="{147F2762-F138-4A5C-976F-8EAC2B608ADB}">
              <a16:predDERef xmlns:a16="http://schemas.microsoft.com/office/drawing/2014/main" pred="{816D2595-E4D2-4C37-9F29-DA79FE6A864F}"/>
            </a:ext>
          </a:extLst>
        </xdr:cNvPr>
        <xdr:cNvPicPr>
          <a:picLocks noChangeAspect="1"/>
        </xdr:cNvPicPr>
      </xdr:nvPicPr>
      <xdr:blipFill>
        <a:blip xmlns:r="http://schemas.openxmlformats.org/officeDocument/2006/relationships" r:embed="rId2"/>
        <a:stretch>
          <a:fillRect/>
        </a:stretch>
      </xdr:blipFill>
      <xdr:spPr>
        <a:xfrm>
          <a:off x="10296525" y="8924925"/>
          <a:ext cx="5943600" cy="6924675"/>
        </a:xfrm>
        <a:prstGeom prst="rect">
          <a:avLst/>
        </a:prstGeom>
      </xdr:spPr>
    </xdr:pic>
    <xdr:clientData/>
  </xdr:twoCellAnchor>
  <xdr:twoCellAnchor editAs="oneCell">
    <xdr:from>
      <xdr:col>16</xdr:col>
      <xdr:colOff>133350</xdr:colOff>
      <xdr:row>3</xdr:row>
      <xdr:rowOff>114300</xdr:rowOff>
    </xdr:from>
    <xdr:to>
      <xdr:col>24</xdr:col>
      <xdr:colOff>133350</xdr:colOff>
      <xdr:row>39</xdr:row>
      <xdr:rowOff>161925</xdr:rowOff>
    </xdr:to>
    <xdr:pic>
      <xdr:nvPicPr>
        <xdr:cNvPr id="2" name="Image 1">
          <a:extLst>
            <a:ext uri="{FF2B5EF4-FFF2-40B4-BE49-F238E27FC236}">
              <a16:creationId xmlns:a16="http://schemas.microsoft.com/office/drawing/2014/main" id="{FF32D72F-9DF0-4337-93A9-0234DB5F50D5}"/>
            </a:ext>
            <a:ext uri="{147F2762-F138-4A5C-976F-8EAC2B608ADB}">
              <a16:predDERef xmlns:a16="http://schemas.microsoft.com/office/drawing/2014/main" pred="{C2D0969C-0539-4E66-A12C-22DE7028D37D}"/>
            </a:ext>
          </a:extLst>
        </xdr:cNvPr>
        <xdr:cNvPicPr>
          <a:picLocks noChangeAspect="1"/>
        </xdr:cNvPicPr>
      </xdr:nvPicPr>
      <xdr:blipFill>
        <a:blip xmlns:r="http://schemas.openxmlformats.org/officeDocument/2006/relationships" r:embed="rId3"/>
        <a:stretch>
          <a:fillRect/>
        </a:stretch>
      </xdr:blipFill>
      <xdr:spPr>
        <a:xfrm>
          <a:off x="10515600" y="1514475"/>
          <a:ext cx="5486400" cy="7248525"/>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266700</xdr:colOff>
      <xdr:row>14</xdr:row>
      <xdr:rowOff>38100</xdr:rowOff>
    </xdr:from>
    <xdr:to>
      <xdr:col>6</xdr:col>
      <xdr:colOff>371475</xdr:colOff>
      <xdr:row>34</xdr:row>
      <xdr:rowOff>180975</xdr:rowOff>
    </xdr:to>
    <xdr:pic>
      <xdr:nvPicPr>
        <xdr:cNvPr id="2" name="Image 1">
          <a:extLst>
            <a:ext uri="{FF2B5EF4-FFF2-40B4-BE49-F238E27FC236}">
              <a16:creationId xmlns:a16="http://schemas.microsoft.com/office/drawing/2014/main" id="{E8F0A85C-FAE8-8C20-E488-0534CC720EC4}"/>
            </a:ext>
          </a:extLst>
        </xdr:cNvPr>
        <xdr:cNvPicPr>
          <a:picLocks noChangeAspect="1"/>
        </xdr:cNvPicPr>
      </xdr:nvPicPr>
      <xdr:blipFill>
        <a:blip xmlns:r="http://schemas.openxmlformats.org/officeDocument/2006/relationships" r:embed="rId1"/>
        <a:stretch>
          <a:fillRect/>
        </a:stretch>
      </xdr:blipFill>
      <xdr:spPr>
        <a:xfrm>
          <a:off x="361950" y="2905125"/>
          <a:ext cx="4476750" cy="4143375"/>
        </a:xfrm>
        <a:prstGeom prst="rect">
          <a:avLst/>
        </a:prstGeom>
      </xdr:spPr>
    </xdr:pic>
    <xdr:clientData/>
  </xdr:twoCellAnchor>
  <xdr:twoCellAnchor editAs="oneCell">
    <xdr:from>
      <xdr:col>1</xdr:col>
      <xdr:colOff>180975</xdr:colOff>
      <xdr:row>34</xdr:row>
      <xdr:rowOff>190500</xdr:rowOff>
    </xdr:from>
    <xdr:to>
      <xdr:col>6</xdr:col>
      <xdr:colOff>371475</xdr:colOff>
      <xdr:row>52</xdr:row>
      <xdr:rowOff>133350</xdr:rowOff>
    </xdr:to>
    <xdr:pic>
      <xdr:nvPicPr>
        <xdr:cNvPr id="3" name="Image 2">
          <a:extLst>
            <a:ext uri="{FF2B5EF4-FFF2-40B4-BE49-F238E27FC236}">
              <a16:creationId xmlns:a16="http://schemas.microsoft.com/office/drawing/2014/main" id="{DB59F2A2-A3E5-0189-38F9-DEFC743DABCD}"/>
            </a:ext>
            <a:ext uri="{147F2762-F138-4A5C-976F-8EAC2B608ADB}">
              <a16:predDERef xmlns:a16="http://schemas.microsoft.com/office/drawing/2014/main" pred="{E8F0A85C-FAE8-8C20-E488-0534CC720EC4}"/>
            </a:ext>
          </a:extLst>
        </xdr:cNvPr>
        <xdr:cNvPicPr>
          <a:picLocks noChangeAspect="1"/>
        </xdr:cNvPicPr>
      </xdr:nvPicPr>
      <xdr:blipFill>
        <a:blip xmlns:r="http://schemas.openxmlformats.org/officeDocument/2006/relationships" r:embed="rId2"/>
        <a:stretch>
          <a:fillRect/>
        </a:stretch>
      </xdr:blipFill>
      <xdr:spPr>
        <a:xfrm>
          <a:off x="276225" y="7058025"/>
          <a:ext cx="4562475" cy="3543300"/>
        </a:xfrm>
        <a:prstGeom prst="rect">
          <a:avLst/>
        </a:prstGeom>
      </xdr:spPr>
    </xdr:pic>
    <xdr:clientData/>
  </xdr:twoCellAnchor>
  <xdr:twoCellAnchor editAs="oneCell">
    <xdr:from>
      <xdr:col>1</xdr:col>
      <xdr:colOff>228600</xdr:colOff>
      <xdr:row>54</xdr:row>
      <xdr:rowOff>66675</xdr:rowOff>
    </xdr:from>
    <xdr:to>
      <xdr:col>6</xdr:col>
      <xdr:colOff>428625</xdr:colOff>
      <xdr:row>63</xdr:row>
      <xdr:rowOff>47625</xdr:rowOff>
    </xdr:to>
    <xdr:pic>
      <xdr:nvPicPr>
        <xdr:cNvPr id="4" name="Image 3">
          <a:extLst>
            <a:ext uri="{FF2B5EF4-FFF2-40B4-BE49-F238E27FC236}">
              <a16:creationId xmlns:a16="http://schemas.microsoft.com/office/drawing/2014/main" id="{9D13B5BB-9827-18CF-5D75-B060D4DE1A1B}"/>
            </a:ext>
            <a:ext uri="{147F2762-F138-4A5C-976F-8EAC2B608ADB}">
              <a16:predDERef xmlns:a16="http://schemas.microsoft.com/office/drawing/2014/main" pred="{DB59F2A2-A3E5-0189-38F9-DEFC743DABCD}"/>
            </a:ext>
          </a:extLst>
        </xdr:cNvPr>
        <xdr:cNvPicPr>
          <a:picLocks noChangeAspect="1"/>
        </xdr:cNvPicPr>
      </xdr:nvPicPr>
      <xdr:blipFill>
        <a:blip xmlns:r="http://schemas.openxmlformats.org/officeDocument/2006/relationships" r:embed="rId3"/>
        <a:stretch>
          <a:fillRect/>
        </a:stretch>
      </xdr:blipFill>
      <xdr:spPr>
        <a:xfrm>
          <a:off x="323850" y="10934700"/>
          <a:ext cx="4572000" cy="1781175"/>
        </a:xfrm>
        <a:prstGeom prst="rect">
          <a:avLst/>
        </a:prstGeom>
      </xdr:spPr>
    </xdr:pic>
    <xdr:clientData/>
  </xdr:twoCellAnchor>
  <xdr:twoCellAnchor editAs="oneCell">
    <xdr:from>
      <xdr:col>1</xdr:col>
      <xdr:colOff>342900</xdr:colOff>
      <xdr:row>63</xdr:row>
      <xdr:rowOff>76200</xdr:rowOff>
    </xdr:from>
    <xdr:to>
      <xdr:col>6</xdr:col>
      <xdr:colOff>542925</xdr:colOff>
      <xdr:row>69</xdr:row>
      <xdr:rowOff>142875</xdr:rowOff>
    </xdr:to>
    <xdr:pic>
      <xdr:nvPicPr>
        <xdr:cNvPr id="5" name="Image 4">
          <a:extLst>
            <a:ext uri="{FF2B5EF4-FFF2-40B4-BE49-F238E27FC236}">
              <a16:creationId xmlns:a16="http://schemas.microsoft.com/office/drawing/2014/main" id="{31CAF3A4-DCD2-57DD-FA27-7FC9F0F3ECED}"/>
            </a:ext>
            <a:ext uri="{147F2762-F138-4A5C-976F-8EAC2B608ADB}">
              <a16:predDERef xmlns:a16="http://schemas.microsoft.com/office/drawing/2014/main" pred="{9D13B5BB-9827-18CF-5D75-B060D4DE1A1B}"/>
            </a:ext>
          </a:extLst>
        </xdr:cNvPr>
        <xdr:cNvPicPr>
          <a:picLocks noChangeAspect="1"/>
        </xdr:cNvPicPr>
      </xdr:nvPicPr>
      <xdr:blipFill>
        <a:blip xmlns:r="http://schemas.openxmlformats.org/officeDocument/2006/relationships" r:embed="rId4"/>
        <a:stretch>
          <a:fillRect/>
        </a:stretch>
      </xdr:blipFill>
      <xdr:spPr>
        <a:xfrm>
          <a:off x="438150" y="12744450"/>
          <a:ext cx="4572000" cy="1266825"/>
        </a:xfrm>
        <a:prstGeom prst="rect">
          <a:avLst/>
        </a:prstGeom>
      </xdr:spPr>
    </xdr:pic>
    <xdr:clientData/>
  </xdr:twoCellAnchor>
  <xdr:twoCellAnchor editAs="oneCell">
    <xdr:from>
      <xdr:col>1</xdr:col>
      <xdr:colOff>314325</xdr:colOff>
      <xdr:row>70</xdr:row>
      <xdr:rowOff>57150</xdr:rowOff>
    </xdr:from>
    <xdr:to>
      <xdr:col>6</xdr:col>
      <xdr:colOff>514350</xdr:colOff>
      <xdr:row>79</xdr:row>
      <xdr:rowOff>114300</xdr:rowOff>
    </xdr:to>
    <xdr:pic>
      <xdr:nvPicPr>
        <xdr:cNvPr id="6" name="Image 5">
          <a:extLst>
            <a:ext uri="{FF2B5EF4-FFF2-40B4-BE49-F238E27FC236}">
              <a16:creationId xmlns:a16="http://schemas.microsoft.com/office/drawing/2014/main" id="{D1C9576A-B576-942B-76FC-0B692D084C65}"/>
            </a:ext>
            <a:ext uri="{147F2762-F138-4A5C-976F-8EAC2B608ADB}">
              <a16:predDERef xmlns:a16="http://schemas.microsoft.com/office/drawing/2014/main" pred="{31CAF3A4-DCD2-57DD-FA27-7FC9F0F3ECED}"/>
            </a:ext>
          </a:extLst>
        </xdr:cNvPr>
        <xdr:cNvPicPr>
          <a:picLocks noChangeAspect="1"/>
        </xdr:cNvPicPr>
      </xdr:nvPicPr>
      <xdr:blipFill>
        <a:blip xmlns:r="http://schemas.openxmlformats.org/officeDocument/2006/relationships" r:embed="rId5"/>
        <a:stretch>
          <a:fillRect/>
        </a:stretch>
      </xdr:blipFill>
      <xdr:spPr>
        <a:xfrm>
          <a:off x="409575" y="14125575"/>
          <a:ext cx="4572000" cy="1857375"/>
        </a:xfrm>
        <a:prstGeom prst="rect">
          <a:avLst/>
        </a:prstGeom>
      </xdr:spPr>
    </xdr:pic>
    <xdr:clientData/>
  </xdr:twoCellAnchor>
  <xdr:twoCellAnchor editAs="oneCell">
    <xdr:from>
      <xdr:col>1</xdr:col>
      <xdr:colOff>371475</xdr:colOff>
      <xdr:row>80</xdr:row>
      <xdr:rowOff>114300</xdr:rowOff>
    </xdr:from>
    <xdr:to>
      <xdr:col>6</xdr:col>
      <xdr:colOff>561975</xdr:colOff>
      <xdr:row>100</xdr:row>
      <xdr:rowOff>66675</xdr:rowOff>
    </xdr:to>
    <xdr:pic>
      <xdr:nvPicPr>
        <xdr:cNvPr id="7" name="Image 6">
          <a:extLst>
            <a:ext uri="{FF2B5EF4-FFF2-40B4-BE49-F238E27FC236}">
              <a16:creationId xmlns:a16="http://schemas.microsoft.com/office/drawing/2014/main" id="{225C2492-B2C8-8DDC-0149-6FA79D68C068}"/>
            </a:ext>
            <a:ext uri="{147F2762-F138-4A5C-976F-8EAC2B608ADB}">
              <a16:predDERef xmlns:a16="http://schemas.microsoft.com/office/drawing/2014/main" pred="{D1C9576A-B576-942B-76FC-0B692D084C65}"/>
            </a:ext>
          </a:extLst>
        </xdr:cNvPr>
        <xdr:cNvPicPr>
          <a:picLocks noChangeAspect="1"/>
        </xdr:cNvPicPr>
      </xdr:nvPicPr>
      <xdr:blipFill>
        <a:blip xmlns:r="http://schemas.openxmlformats.org/officeDocument/2006/relationships" r:embed="rId6"/>
        <a:stretch>
          <a:fillRect/>
        </a:stretch>
      </xdr:blipFill>
      <xdr:spPr>
        <a:xfrm>
          <a:off x="466725" y="16182975"/>
          <a:ext cx="4562475" cy="3952875"/>
        </a:xfrm>
        <a:prstGeom prst="rect">
          <a:avLst/>
        </a:prstGeom>
      </xdr:spPr>
    </xdr:pic>
    <xdr:clientData/>
  </xdr:twoCellAnchor>
  <xdr:twoCellAnchor editAs="oneCell">
    <xdr:from>
      <xdr:col>6</xdr:col>
      <xdr:colOff>457200</xdr:colOff>
      <xdr:row>15</xdr:row>
      <xdr:rowOff>9525</xdr:rowOff>
    </xdr:from>
    <xdr:to>
      <xdr:col>11</xdr:col>
      <xdr:colOff>1600200</xdr:colOff>
      <xdr:row>30</xdr:row>
      <xdr:rowOff>57150</xdr:rowOff>
    </xdr:to>
    <xdr:pic>
      <xdr:nvPicPr>
        <xdr:cNvPr id="8" name="Image 7">
          <a:extLst>
            <a:ext uri="{FF2B5EF4-FFF2-40B4-BE49-F238E27FC236}">
              <a16:creationId xmlns:a16="http://schemas.microsoft.com/office/drawing/2014/main" id="{74847283-BBDA-6B99-1277-BB7240CF1AFB}"/>
            </a:ext>
            <a:ext uri="{147F2762-F138-4A5C-976F-8EAC2B608ADB}">
              <a16:predDERef xmlns:a16="http://schemas.microsoft.com/office/drawing/2014/main" pred="{225C2492-B2C8-8DDC-0149-6FA79D68C068}"/>
            </a:ext>
          </a:extLst>
        </xdr:cNvPr>
        <xdr:cNvPicPr>
          <a:picLocks noChangeAspect="1"/>
        </xdr:cNvPicPr>
      </xdr:nvPicPr>
      <xdr:blipFill>
        <a:blip xmlns:r="http://schemas.openxmlformats.org/officeDocument/2006/relationships" r:embed="rId7"/>
        <a:stretch>
          <a:fillRect/>
        </a:stretch>
      </xdr:blipFill>
      <xdr:spPr>
        <a:xfrm>
          <a:off x="4924425" y="3076575"/>
          <a:ext cx="4572000" cy="3048000"/>
        </a:xfrm>
        <a:prstGeom prst="rect">
          <a:avLst/>
        </a:prstGeom>
      </xdr:spPr>
    </xdr:pic>
    <xdr:clientData/>
  </xdr:twoCellAnchor>
  <xdr:twoCellAnchor editAs="oneCell">
    <xdr:from>
      <xdr:col>6</xdr:col>
      <xdr:colOff>495300</xdr:colOff>
      <xdr:row>31</xdr:row>
      <xdr:rowOff>0</xdr:rowOff>
    </xdr:from>
    <xdr:to>
      <xdr:col>11</xdr:col>
      <xdr:colOff>1638300</xdr:colOff>
      <xdr:row>35</xdr:row>
      <xdr:rowOff>104775</xdr:rowOff>
    </xdr:to>
    <xdr:pic>
      <xdr:nvPicPr>
        <xdr:cNvPr id="9" name="Image 8">
          <a:extLst>
            <a:ext uri="{FF2B5EF4-FFF2-40B4-BE49-F238E27FC236}">
              <a16:creationId xmlns:a16="http://schemas.microsoft.com/office/drawing/2014/main" id="{17CCAE6F-1096-B2B6-4510-EEC90684398E}"/>
            </a:ext>
            <a:ext uri="{147F2762-F138-4A5C-976F-8EAC2B608ADB}">
              <a16:predDERef xmlns:a16="http://schemas.microsoft.com/office/drawing/2014/main" pred="{74847283-BBDA-6B99-1277-BB7240CF1AFB}"/>
            </a:ext>
          </a:extLst>
        </xdr:cNvPr>
        <xdr:cNvPicPr>
          <a:picLocks noChangeAspect="1"/>
        </xdr:cNvPicPr>
      </xdr:nvPicPr>
      <xdr:blipFill>
        <a:blip xmlns:r="http://schemas.openxmlformats.org/officeDocument/2006/relationships" r:embed="rId8"/>
        <a:stretch>
          <a:fillRect/>
        </a:stretch>
      </xdr:blipFill>
      <xdr:spPr>
        <a:xfrm>
          <a:off x="4962525" y="6267450"/>
          <a:ext cx="4572000" cy="904875"/>
        </a:xfrm>
        <a:prstGeom prst="rect">
          <a:avLst/>
        </a:prstGeom>
      </xdr:spPr>
    </xdr:pic>
    <xdr:clientData/>
  </xdr:twoCellAnchor>
  <xdr:twoCellAnchor editAs="oneCell">
    <xdr:from>
      <xdr:col>6</xdr:col>
      <xdr:colOff>514350</xdr:colOff>
      <xdr:row>36</xdr:row>
      <xdr:rowOff>114300</xdr:rowOff>
    </xdr:from>
    <xdr:to>
      <xdr:col>11</xdr:col>
      <xdr:colOff>1647825</xdr:colOff>
      <xdr:row>50</xdr:row>
      <xdr:rowOff>161925</xdr:rowOff>
    </xdr:to>
    <xdr:pic>
      <xdr:nvPicPr>
        <xdr:cNvPr id="11" name="Image 10">
          <a:extLst>
            <a:ext uri="{FF2B5EF4-FFF2-40B4-BE49-F238E27FC236}">
              <a16:creationId xmlns:a16="http://schemas.microsoft.com/office/drawing/2014/main" id="{DDD87D56-2876-A7B3-69D3-605C7A1C7323}"/>
            </a:ext>
            <a:ext uri="{147F2762-F138-4A5C-976F-8EAC2B608ADB}">
              <a16:predDERef xmlns:a16="http://schemas.microsoft.com/office/drawing/2014/main" pred="{17CCAE6F-1096-B2B6-4510-EEC90684398E}"/>
            </a:ext>
          </a:extLst>
        </xdr:cNvPr>
        <xdr:cNvPicPr>
          <a:picLocks noChangeAspect="1"/>
        </xdr:cNvPicPr>
      </xdr:nvPicPr>
      <xdr:blipFill>
        <a:blip xmlns:r="http://schemas.openxmlformats.org/officeDocument/2006/relationships" r:embed="rId9"/>
        <a:stretch>
          <a:fillRect/>
        </a:stretch>
      </xdr:blipFill>
      <xdr:spPr>
        <a:xfrm>
          <a:off x="4981575" y="7381875"/>
          <a:ext cx="4562475" cy="2847975"/>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419100</xdr:colOff>
      <xdr:row>16</xdr:row>
      <xdr:rowOff>9525</xdr:rowOff>
    </xdr:from>
    <xdr:to>
      <xdr:col>8</xdr:col>
      <xdr:colOff>409575</xdr:colOff>
      <xdr:row>31</xdr:row>
      <xdr:rowOff>152400</xdr:rowOff>
    </xdr:to>
    <xdr:pic>
      <xdr:nvPicPr>
        <xdr:cNvPr id="2" name="Image 1">
          <a:extLst>
            <a:ext uri="{FF2B5EF4-FFF2-40B4-BE49-F238E27FC236}">
              <a16:creationId xmlns:a16="http://schemas.microsoft.com/office/drawing/2014/main" id="{1B7EA0C2-3A93-D6F9-8621-63D63E5BE005}"/>
            </a:ext>
          </a:extLst>
        </xdr:cNvPr>
        <xdr:cNvPicPr>
          <a:picLocks noChangeAspect="1"/>
        </xdr:cNvPicPr>
      </xdr:nvPicPr>
      <xdr:blipFill>
        <a:blip xmlns:r="http://schemas.openxmlformats.org/officeDocument/2006/relationships" r:embed="rId1"/>
        <a:stretch>
          <a:fillRect/>
        </a:stretch>
      </xdr:blipFill>
      <xdr:spPr>
        <a:xfrm>
          <a:off x="514350" y="3276600"/>
          <a:ext cx="6896100" cy="3143250"/>
        </a:xfrm>
        <a:prstGeom prst="rect">
          <a:avLst/>
        </a:prstGeom>
      </xdr:spPr>
    </xdr:pic>
    <xdr:clientData/>
  </xdr:twoCellAnchor>
  <xdr:twoCellAnchor editAs="oneCell">
    <xdr:from>
      <xdr:col>2</xdr:col>
      <xdr:colOff>152400</xdr:colOff>
      <xdr:row>33</xdr:row>
      <xdr:rowOff>104775</xdr:rowOff>
    </xdr:from>
    <xdr:to>
      <xdr:col>6</xdr:col>
      <xdr:colOff>933450</xdr:colOff>
      <xdr:row>60</xdr:row>
      <xdr:rowOff>47625</xdr:rowOff>
    </xdr:to>
    <xdr:pic>
      <xdr:nvPicPr>
        <xdr:cNvPr id="3" name="Image 2">
          <a:extLst>
            <a:ext uri="{FF2B5EF4-FFF2-40B4-BE49-F238E27FC236}">
              <a16:creationId xmlns:a16="http://schemas.microsoft.com/office/drawing/2014/main" id="{93A58B52-4643-37B7-6FD7-AACF82F9F518}"/>
            </a:ext>
            <a:ext uri="{147F2762-F138-4A5C-976F-8EAC2B608ADB}">
              <a16:predDERef xmlns:a16="http://schemas.microsoft.com/office/drawing/2014/main" pred="{1B7EA0C2-3A93-D6F9-8621-63D63E5BE005}"/>
            </a:ext>
          </a:extLst>
        </xdr:cNvPr>
        <xdr:cNvPicPr>
          <a:picLocks noChangeAspect="1"/>
        </xdr:cNvPicPr>
      </xdr:nvPicPr>
      <xdr:blipFill>
        <a:blip xmlns:r="http://schemas.openxmlformats.org/officeDocument/2006/relationships" r:embed="rId2"/>
        <a:stretch>
          <a:fillRect/>
        </a:stretch>
      </xdr:blipFill>
      <xdr:spPr>
        <a:xfrm>
          <a:off x="933450" y="6772275"/>
          <a:ext cx="4467225" cy="5343525"/>
        </a:xfrm>
        <a:prstGeom prst="rect">
          <a:avLst/>
        </a:prstGeom>
      </xdr:spPr>
    </xdr:pic>
    <xdr:clientData/>
  </xdr:twoCellAnchor>
  <xdr:twoCellAnchor editAs="oneCell">
    <xdr:from>
      <xdr:col>2</xdr:col>
      <xdr:colOff>47625</xdr:colOff>
      <xdr:row>61</xdr:row>
      <xdr:rowOff>133350</xdr:rowOff>
    </xdr:from>
    <xdr:to>
      <xdr:col>6</xdr:col>
      <xdr:colOff>933450</xdr:colOff>
      <xdr:row>63</xdr:row>
      <xdr:rowOff>190500</xdr:rowOff>
    </xdr:to>
    <xdr:pic>
      <xdr:nvPicPr>
        <xdr:cNvPr id="4" name="Image 3">
          <a:extLst>
            <a:ext uri="{FF2B5EF4-FFF2-40B4-BE49-F238E27FC236}">
              <a16:creationId xmlns:a16="http://schemas.microsoft.com/office/drawing/2014/main" id="{1AFA6BFC-40A9-6209-0D98-E93DA782E7FF}"/>
            </a:ext>
            <a:ext uri="{147F2762-F138-4A5C-976F-8EAC2B608ADB}">
              <a16:predDERef xmlns:a16="http://schemas.microsoft.com/office/drawing/2014/main" pred="{93A58B52-4643-37B7-6FD7-AACF82F9F518}"/>
            </a:ext>
          </a:extLst>
        </xdr:cNvPr>
        <xdr:cNvPicPr>
          <a:picLocks noChangeAspect="1"/>
        </xdr:cNvPicPr>
      </xdr:nvPicPr>
      <xdr:blipFill>
        <a:blip xmlns:r="http://schemas.openxmlformats.org/officeDocument/2006/relationships" r:embed="rId3"/>
        <a:stretch>
          <a:fillRect/>
        </a:stretch>
      </xdr:blipFill>
      <xdr:spPr>
        <a:xfrm>
          <a:off x="828675" y="14258925"/>
          <a:ext cx="4572000" cy="457200"/>
        </a:xfrm>
        <a:prstGeom prst="rect">
          <a:avLst/>
        </a:prstGeom>
      </xdr:spPr>
    </xdr:pic>
    <xdr:clientData/>
  </xdr:twoCellAnchor>
  <xdr:twoCellAnchor editAs="oneCell">
    <xdr:from>
      <xdr:col>2</xdr:col>
      <xdr:colOff>85725</xdr:colOff>
      <xdr:row>66</xdr:row>
      <xdr:rowOff>104775</xdr:rowOff>
    </xdr:from>
    <xdr:to>
      <xdr:col>6</xdr:col>
      <xdr:colOff>971550</xdr:colOff>
      <xdr:row>72</xdr:row>
      <xdr:rowOff>190500</xdr:rowOff>
    </xdr:to>
    <xdr:pic>
      <xdr:nvPicPr>
        <xdr:cNvPr id="5" name="Image 4">
          <a:extLst>
            <a:ext uri="{FF2B5EF4-FFF2-40B4-BE49-F238E27FC236}">
              <a16:creationId xmlns:a16="http://schemas.microsoft.com/office/drawing/2014/main" id="{D9432AFB-36B4-F7EE-355A-511F6797D0B2}"/>
            </a:ext>
            <a:ext uri="{147F2762-F138-4A5C-976F-8EAC2B608ADB}">
              <a16:predDERef xmlns:a16="http://schemas.microsoft.com/office/drawing/2014/main" pred="{1AFA6BFC-40A9-6209-0D98-E93DA782E7FF}"/>
            </a:ext>
          </a:extLst>
        </xdr:cNvPr>
        <xdr:cNvPicPr>
          <a:picLocks noChangeAspect="1"/>
        </xdr:cNvPicPr>
      </xdr:nvPicPr>
      <xdr:blipFill>
        <a:blip xmlns:r="http://schemas.openxmlformats.org/officeDocument/2006/relationships" r:embed="rId4"/>
        <a:stretch>
          <a:fillRect/>
        </a:stretch>
      </xdr:blipFill>
      <xdr:spPr>
        <a:xfrm>
          <a:off x="866775" y="15230475"/>
          <a:ext cx="4572000" cy="1285875"/>
        </a:xfrm>
        <a:prstGeom prst="rect">
          <a:avLst/>
        </a:prstGeom>
      </xdr:spPr>
    </xdr:pic>
    <xdr:clientData/>
  </xdr:twoCellAnchor>
  <xdr:twoCellAnchor editAs="oneCell">
    <xdr:from>
      <xdr:col>11</xdr:col>
      <xdr:colOff>257175</xdr:colOff>
      <xdr:row>15</xdr:row>
      <xdr:rowOff>66675</xdr:rowOff>
    </xdr:from>
    <xdr:to>
      <xdr:col>20</xdr:col>
      <xdr:colOff>381000</xdr:colOff>
      <xdr:row>33</xdr:row>
      <xdr:rowOff>123825</xdr:rowOff>
    </xdr:to>
    <xdr:pic>
      <xdr:nvPicPr>
        <xdr:cNvPr id="6" name="Image 5">
          <a:extLst>
            <a:ext uri="{FF2B5EF4-FFF2-40B4-BE49-F238E27FC236}">
              <a16:creationId xmlns:a16="http://schemas.microsoft.com/office/drawing/2014/main" id="{A0002896-6A85-D662-3A15-62A2F5D460E8}"/>
            </a:ext>
            <a:ext uri="{147F2762-F138-4A5C-976F-8EAC2B608ADB}">
              <a16:predDERef xmlns:a16="http://schemas.microsoft.com/office/drawing/2014/main" pred="{D9432AFB-36B4-F7EE-355A-511F6797D0B2}"/>
            </a:ext>
          </a:extLst>
        </xdr:cNvPr>
        <xdr:cNvPicPr>
          <a:picLocks noChangeAspect="1"/>
        </xdr:cNvPicPr>
      </xdr:nvPicPr>
      <xdr:blipFill>
        <a:blip xmlns:r="http://schemas.openxmlformats.org/officeDocument/2006/relationships" r:embed="rId5"/>
        <a:stretch>
          <a:fillRect/>
        </a:stretch>
      </xdr:blipFill>
      <xdr:spPr>
        <a:xfrm>
          <a:off x="9610725" y="3133725"/>
          <a:ext cx="6296025" cy="3657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12</xdr:col>
      <xdr:colOff>200025</xdr:colOff>
      <xdr:row>3</xdr:row>
      <xdr:rowOff>0</xdr:rowOff>
    </xdr:from>
    <xdr:to>
      <xdr:col>16</xdr:col>
      <xdr:colOff>228600</xdr:colOff>
      <xdr:row>49</xdr:row>
      <xdr:rowOff>133350</xdr:rowOff>
    </xdr:to>
    <xdr:pic>
      <xdr:nvPicPr>
        <xdr:cNvPr id="2" name="Image 1">
          <a:extLst>
            <a:ext uri="{FF2B5EF4-FFF2-40B4-BE49-F238E27FC236}">
              <a16:creationId xmlns:a16="http://schemas.microsoft.com/office/drawing/2014/main" id="{8AC1794E-85E6-4E80-BA8B-1B3C87075CAC}"/>
            </a:ext>
          </a:extLst>
        </xdr:cNvPr>
        <xdr:cNvPicPr>
          <a:picLocks noChangeAspect="1"/>
        </xdr:cNvPicPr>
      </xdr:nvPicPr>
      <xdr:blipFill>
        <a:blip xmlns:r="http://schemas.openxmlformats.org/officeDocument/2006/relationships" r:embed="rId1"/>
        <a:stretch>
          <a:fillRect/>
        </a:stretch>
      </xdr:blipFill>
      <xdr:spPr>
        <a:xfrm>
          <a:off x="12525375" y="600075"/>
          <a:ext cx="2771775" cy="933450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171450</xdr:colOff>
      <xdr:row>8</xdr:row>
      <xdr:rowOff>581025</xdr:rowOff>
    </xdr:from>
    <xdr:to>
      <xdr:col>8</xdr:col>
      <xdr:colOff>142875</xdr:colOff>
      <xdr:row>19</xdr:row>
      <xdr:rowOff>190500</xdr:rowOff>
    </xdr:to>
    <xdr:pic>
      <xdr:nvPicPr>
        <xdr:cNvPr id="2" name="Image 1">
          <a:extLst>
            <a:ext uri="{FF2B5EF4-FFF2-40B4-BE49-F238E27FC236}">
              <a16:creationId xmlns:a16="http://schemas.microsoft.com/office/drawing/2014/main" id="{AAAB5CC1-BDCF-FCC1-DE45-16EB15046BE9}"/>
            </a:ext>
          </a:extLst>
        </xdr:cNvPr>
        <xdr:cNvPicPr>
          <a:picLocks noChangeAspect="1"/>
        </xdr:cNvPicPr>
      </xdr:nvPicPr>
      <xdr:blipFill>
        <a:blip xmlns:r="http://schemas.openxmlformats.org/officeDocument/2006/relationships" r:embed="rId1"/>
        <a:stretch>
          <a:fillRect/>
        </a:stretch>
      </xdr:blipFill>
      <xdr:spPr>
        <a:xfrm>
          <a:off x="266700" y="3581400"/>
          <a:ext cx="6619875" cy="2190750"/>
        </a:xfrm>
        <a:prstGeom prst="rect">
          <a:avLst/>
        </a:prstGeom>
      </xdr:spPr>
    </xdr:pic>
    <xdr:clientData/>
  </xdr:twoCellAnchor>
  <xdr:twoCellAnchor editAs="oneCell">
    <xdr:from>
      <xdr:col>1</xdr:col>
      <xdr:colOff>133350</xdr:colOff>
      <xdr:row>12</xdr:row>
      <xdr:rowOff>47625</xdr:rowOff>
    </xdr:from>
    <xdr:to>
      <xdr:col>7</xdr:col>
      <xdr:colOff>676275</xdr:colOff>
      <xdr:row>19</xdr:row>
      <xdr:rowOff>180975</xdr:rowOff>
    </xdr:to>
    <xdr:pic>
      <xdr:nvPicPr>
        <xdr:cNvPr id="3" name="Image 2">
          <a:extLst>
            <a:ext uri="{FF2B5EF4-FFF2-40B4-BE49-F238E27FC236}">
              <a16:creationId xmlns:a16="http://schemas.microsoft.com/office/drawing/2014/main" id="{D7222D86-00B5-DF2E-7225-E3E57A262888}"/>
            </a:ext>
            <a:ext uri="{147F2762-F138-4A5C-976F-8EAC2B608ADB}">
              <a16:predDERef xmlns:a16="http://schemas.microsoft.com/office/drawing/2014/main" pred="{AAAB5CC1-BDCF-FCC1-DE45-16EB15046BE9}"/>
            </a:ext>
          </a:extLst>
        </xdr:cNvPr>
        <xdr:cNvPicPr>
          <a:picLocks noChangeAspect="1"/>
        </xdr:cNvPicPr>
      </xdr:nvPicPr>
      <xdr:blipFill>
        <a:blip xmlns:r="http://schemas.openxmlformats.org/officeDocument/2006/relationships" r:embed="rId2"/>
        <a:stretch>
          <a:fillRect/>
        </a:stretch>
      </xdr:blipFill>
      <xdr:spPr>
        <a:xfrm>
          <a:off x="228600" y="5915025"/>
          <a:ext cx="6505575" cy="1533525"/>
        </a:xfrm>
        <a:prstGeom prst="rect">
          <a:avLst/>
        </a:prstGeom>
      </xdr:spPr>
    </xdr:pic>
    <xdr:clientData/>
  </xdr:twoCellAnchor>
  <xdr:twoCellAnchor editAs="oneCell">
    <xdr:from>
      <xdr:col>1</xdr:col>
      <xdr:colOff>590550</xdr:colOff>
      <xdr:row>20</xdr:row>
      <xdr:rowOff>95250</xdr:rowOff>
    </xdr:from>
    <xdr:to>
      <xdr:col>5</xdr:col>
      <xdr:colOff>533400</xdr:colOff>
      <xdr:row>24</xdr:row>
      <xdr:rowOff>76200</xdr:rowOff>
    </xdr:to>
    <xdr:pic>
      <xdr:nvPicPr>
        <xdr:cNvPr id="4" name="Image 3">
          <a:extLst>
            <a:ext uri="{FF2B5EF4-FFF2-40B4-BE49-F238E27FC236}">
              <a16:creationId xmlns:a16="http://schemas.microsoft.com/office/drawing/2014/main" id="{70DB2AC9-F800-3E7E-1045-329F16D35BBD}"/>
            </a:ext>
            <a:ext uri="{147F2762-F138-4A5C-976F-8EAC2B608ADB}">
              <a16:predDERef xmlns:a16="http://schemas.microsoft.com/office/drawing/2014/main" pred="{D7222D86-00B5-DF2E-7225-E3E57A262888}"/>
            </a:ext>
          </a:extLst>
        </xdr:cNvPr>
        <xdr:cNvPicPr>
          <a:picLocks noChangeAspect="1"/>
        </xdr:cNvPicPr>
      </xdr:nvPicPr>
      <xdr:blipFill>
        <a:blip xmlns:r="http://schemas.openxmlformats.org/officeDocument/2006/relationships" r:embed="rId3"/>
        <a:stretch>
          <a:fillRect/>
        </a:stretch>
      </xdr:blipFill>
      <xdr:spPr>
        <a:xfrm>
          <a:off x="685800" y="7562850"/>
          <a:ext cx="4533900" cy="781050"/>
        </a:xfrm>
        <a:prstGeom prst="rect">
          <a:avLst/>
        </a:prstGeom>
      </xdr:spPr>
    </xdr:pic>
    <xdr:clientData/>
  </xdr:twoCellAnchor>
  <xdr:twoCellAnchor editAs="oneCell">
    <xdr:from>
      <xdr:col>2</xdr:col>
      <xdr:colOff>28575</xdr:colOff>
      <xdr:row>25</xdr:row>
      <xdr:rowOff>38100</xdr:rowOff>
    </xdr:from>
    <xdr:to>
      <xdr:col>5</xdr:col>
      <xdr:colOff>200025</xdr:colOff>
      <xdr:row>30</xdr:row>
      <xdr:rowOff>57150</xdr:rowOff>
    </xdr:to>
    <xdr:pic>
      <xdr:nvPicPr>
        <xdr:cNvPr id="5" name="Image 4">
          <a:extLst>
            <a:ext uri="{FF2B5EF4-FFF2-40B4-BE49-F238E27FC236}">
              <a16:creationId xmlns:a16="http://schemas.microsoft.com/office/drawing/2014/main" id="{0197FD31-6D7A-44CB-B393-B4F623D025DD}"/>
            </a:ext>
            <a:ext uri="{147F2762-F138-4A5C-976F-8EAC2B608ADB}">
              <a16:predDERef xmlns:a16="http://schemas.microsoft.com/office/drawing/2014/main" pred="{70DB2AC9-F800-3E7E-1045-329F16D35BBD}"/>
            </a:ext>
          </a:extLst>
        </xdr:cNvPr>
        <xdr:cNvPicPr>
          <a:picLocks noChangeAspect="1"/>
        </xdr:cNvPicPr>
      </xdr:nvPicPr>
      <xdr:blipFill>
        <a:blip xmlns:r="http://schemas.openxmlformats.org/officeDocument/2006/relationships" r:embed="rId4"/>
        <a:stretch>
          <a:fillRect/>
        </a:stretch>
      </xdr:blipFill>
      <xdr:spPr>
        <a:xfrm>
          <a:off x="809625" y="8505825"/>
          <a:ext cx="4076700" cy="1019175"/>
        </a:xfrm>
        <a:prstGeom prst="rect">
          <a:avLst/>
        </a:prstGeom>
      </xdr:spPr>
    </xdr:pic>
    <xdr:clientData/>
  </xdr:twoCellAnchor>
  <xdr:twoCellAnchor editAs="oneCell">
    <xdr:from>
      <xdr:col>2</xdr:col>
      <xdr:colOff>76200</xdr:colOff>
      <xdr:row>31</xdr:row>
      <xdr:rowOff>66675</xdr:rowOff>
    </xdr:from>
    <xdr:to>
      <xdr:col>5</xdr:col>
      <xdr:colOff>419100</xdr:colOff>
      <xdr:row>41</xdr:row>
      <xdr:rowOff>66675</xdr:rowOff>
    </xdr:to>
    <xdr:pic>
      <xdr:nvPicPr>
        <xdr:cNvPr id="6" name="Image 5">
          <a:extLst>
            <a:ext uri="{FF2B5EF4-FFF2-40B4-BE49-F238E27FC236}">
              <a16:creationId xmlns:a16="http://schemas.microsoft.com/office/drawing/2014/main" id="{78B267EB-744C-4231-E9C4-24D3DB631AE2}"/>
            </a:ext>
            <a:ext uri="{147F2762-F138-4A5C-976F-8EAC2B608ADB}">
              <a16:predDERef xmlns:a16="http://schemas.microsoft.com/office/drawing/2014/main" pred="{0197FD31-6D7A-44CB-B393-B4F623D025DD}"/>
            </a:ext>
          </a:extLst>
        </xdr:cNvPr>
        <xdr:cNvPicPr>
          <a:picLocks noChangeAspect="1"/>
        </xdr:cNvPicPr>
      </xdr:nvPicPr>
      <xdr:blipFill>
        <a:blip xmlns:r="http://schemas.openxmlformats.org/officeDocument/2006/relationships" r:embed="rId5"/>
        <a:stretch>
          <a:fillRect/>
        </a:stretch>
      </xdr:blipFill>
      <xdr:spPr>
        <a:xfrm>
          <a:off x="857250" y="9734550"/>
          <a:ext cx="4248150" cy="2000250"/>
        </a:xfrm>
        <a:prstGeom prst="rect">
          <a:avLst/>
        </a:prstGeom>
      </xdr:spPr>
    </xdr:pic>
    <xdr:clientData/>
  </xdr:twoCellAnchor>
  <xdr:twoCellAnchor editAs="oneCell">
    <xdr:from>
      <xdr:col>2</xdr:col>
      <xdr:colOff>85725</xdr:colOff>
      <xdr:row>41</xdr:row>
      <xdr:rowOff>161925</xdr:rowOff>
    </xdr:from>
    <xdr:to>
      <xdr:col>5</xdr:col>
      <xdr:colOff>323850</xdr:colOff>
      <xdr:row>45</xdr:row>
      <xdr:rowOff>19050</xdr:rowOff>
    </xdr:to>
    <xdr:pic>
      <xdr:nvPicPr>
        <xdr:cNvPr id="7" name="Image 6">
          <a:extLst>
            <a:ext uri="{FF2B5EF4-FFF2-40B4-BE49-F238E27FC236}">
              <a16:creationId xmlns:a16="http://schemas.microsoft.com/office/drawing/2014/main" id="{5BC78CB2-DB19-A5BA-4084-922570316866}"/>
            </a:ext>
            <a:ext uri="{147F2762-F138-4A5C-976F-8EAC2B608ADB}">
              <a16:predDERef xmlns:a16="http://schemas.microsoft.com/office/drawing/2014/main" pred="{78B267EB-744C-4231-E9C4-24D3DB631AE2}"/>
            </a:ext>
          </a:extLst>
        </xdr:cNvPr>
        <xdr:cNvPicPr>
          <a:picLocks noChangeAspect="1"/>
        </xdr:cNvPicPr>
      </xdr:nvPicPr>
      <xdr:blipFill>
        <a:blip xmlns:r="http://schemas.openxmlformats.org/officeDocument/2006/relationships" r:embed="rId6"/>
        <a:stretch>
          <a:fillRect/>
        </a:stretch>
      </xdr:blipFill>
      <xdr:spPr>
        <a:xfrm>
          <a:off x="866775" y="11830050"/>
          <a:ext cx="4143375" cy="65722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247650</xdr:colOff>
      <xdr:row>44</xdr:row>
      <xdr:rowOff>38100</xdr:rowOff>
    </xdr:from>
    <xdr:to>
      <xdr:col>6</xdr:col>
      <xdr:colOff>1390650</xdr:colOff>
      <xdr:row>65</xdr:row>
      <xdr:rowOff>19050</xdr:rowOff>
    </xdr:to>
    <xdr:pic>
      <xdr:nvPicPr>
        <xdr:cNvPr id="2" name="Image 1">
          <a:extLst>
            <a:ext uri="{FF2B5EF4-FFF2-40B4-BE49-F238E27FC236}">
              <a16:creationId xmlns:a16="http://schemas.microsoft.com/office/drawing/2014/main" id="{729443A5-9293-33EB-2287-F56725F86F6E}"/>
            </a:ext>
          </a:extLst>
        </xdr:cNvPr>
        <xdr:cNvPicPr>
          <a:picLocks noChangeAspect="1"/>
        </xdr:cNvPicPr>
      </xdr:nvPicPr>
      <xdr:blipFill>
        <a:blip xmlns:r="http://schemas.openxmlformats.org/officeDocument/2006/relationships" r:embed="rId1"/>
        <a:stretch>
          <a:fillRect/>
        </a:stretch>
      </xdr:blipFill>
      <xdr:spPr>
        <a:xfrm>
          <a:off x="409575" y="9039225"/>
          <a:ext cx="4572000" cy="4181475"/>
        </a:xfrm>
        <a:prstGeom prst="rect">
          <a:avLst/>
        </a:prstGeom>
      </xdr:spPr>
    </xdr:pic>
    <xdr:clientData/>
  </xdr:twoCellAnchor>
  <xdr:twoCellAnchor editAs="oneCell">
    <xdr:from>
      <xdr:col>1</xdr:col>
      <xdr:colOff>209550</xdr:colOff>
      <xdr:row>37</xdr:row>
      <xdr:rowOff>161925</xdr:rowOff>
    </xdr:from>
    <xdr:to>
      <xdr:col>6</xdr:col>
      <xdr:colOff>1352550</xdr:colOff>
      <xdr:row>43</xdr:row>
      <xdr:rowOff>57150</xdr:rowOff>
    </xdr:to>
    <xdr:pic>
      <xdr:nvPicPr>
        <xdr:cNvPr id="3" name="Image 2">
          <a:extLst>
            <a:ext uri="{FF2B5EF4-FFF2-40B4-BE49-F238E27FC236}">
              <a16:creationId xmlns:a16="http://schemas.microsoft.com/office/drawing/2014/main" id="{D8315047-40E6-6856-B13A-9F5FC117E27E}"/>
            </a:ext>
            <a:ext uri="{147F2762-F138-4A5C-976F-8EAC2B608ADB}">
              <a16:predDERef xmlns:a16="http://schemas.microsoft.com/office/drawing/2014/main" pred="{729443A5-9293-33EB-2287-F56725F86F6E}"/>
            </a:ext>
          </a:extLst>
        </xdr:cNvPr>
        <xdr:cNvPicPr>
          <a:picLocks noChangeAspect="1"/>
        </xdr:cNvPicPr>
      </xdr:nvPicPr>
      <xdr:blipFill>
        <a:blip xmlns:r="http://schemas.openxmlformats.org/officeDocument/2006/relationships" r:embed="rId2"/>
        <a:stretch>
          <a:fillRect/>
        </a:stretch>
      </xdr:blipFill>
      <xdr:spPr>
        <a:xfrm>
          <a:off x="371475" y="7762875"/>
          <a:ext cx="4572000" cy="1095375"/>
        </a:xfrm>
        <a:prstGeom prst="rect">
          <a:avLst/>
        </a:prstGeom>
      </xdr:spPr>
    </xdr:pic>
    <xdr:clientData/>
  </xdr:twoCellAnchor>
  <xdr:twoCellAnchor editAs="oneCell">
    <xdr:from>
      <xdr:col>1</xdr:col>
      <xdr:colOff>285750</xdr:colOff>
      <xdr:row>66</xdr:row>
      <xdr:rowOff>28575</xdr:rowOff>
    </xdr:from>
    <xdr:to>
      <xdr:col>6</xdr:col>
      <xdr:colOff>1428750</xdr:colOff>
      <xdr:row>71</xdr:row>
      <xdr:rowOff>104775</xdr:rowOff>
    </xdr:to>
    <xdr:pic>
      <xdr:nvPicPr>
        <xdr:cNvPr id="6" name="Image 5">
          <a:extLst>
            <a:ext uri="{FF2B5EF4-FFF2-40B4-BE49-F238E27FC236}">
              <a16:creationId xmlns:a16="http://schemas.microsoft.com/office/drawing/2014/main" id="{4EBC5018-6CE8-99EE-6FAE-13A9D27C250E}"/>
            </a:ext>
            <a:ext uri="{147F2762-F138-4A5C-976F-8EAC2B608ADB}">
              <a16:predDERef xmlns:a16="http://schemas.microsoft.com/office/drawing/2014/main" pred="{D8315047-40E6-6856-B13A-9F5FC117E27E}"/>
            </a:ext>
          </a:extLst>
        </xdr:cNvPr>
        <xdr:cNvPicPr>
          <a:picLocks noChangeAspect="1"/>
        </xdr:cNvPicPr>
      </xdr:nvPicPr>
      <xdr:blipFill>
        <a:blip xmlns:r="http://schemas.openxmlformats.org/officeDocument/2006/relationships" r:embed="rId3"/>
        <a:stretch>
          <a:fillRect/>
        </a:stretch>
      </xdr:blipFill>
      <xdr:spPr>
        <a:xfrm>
          <a:off x="447675" y="13449300"/>
          <a:ext cx="4572000" cy="1076325"/>
        </a:xfrm>
        <a:prstGeom prst="rect">
          <a:avLst/>
        </a:prstGeom>
      </xdr:spPr>
    </xdr:pic>
    <xdr:clientData/>
  </xdr:twoCellAnchor>
  <xdr:twoCellAnchor editAs="oneCell">
    <xdr:from>
      <xdr:col>1</xdr:col>
      <xdr:colOff>266700</xdr:colOff>
      <xdr:row>72</xdr:row>
      <xdr:rowOff>38100</xdr:rowOff>
    </xdr:from>
    <xdr:to>
      <xdr:col>6</xdr:col>
      <xdr:colOff>1409700</xdr:colOff>
      <xdr:row>78</xdr:row>
      <xdr:rowOff>114300</xdr:rowOff>
    </xdr:to>
    <xdr:pic>
      <xdr:nvPicPr>
        <xdr:cNvPr id="7" name="Image 6">
          <a:extLst>
            <a:ext uri="{FF2B5EF4-FFF2-40B4-BE49-F238E27FC236}">
              <a16:creationId xmlns:a16="http://schemas.microsoft.com/office/drawing/2014/main" id="{53078C2B-5985-FEBF-8CA1-2AC7F85055F3}"/>
            </a:ext>
            <a:ext uri="{147F2762-F138-4A5C-976F-8EAC2B608ADB}">
              <a16:predDERef xmlns:a16="http://schemas.microsoft.com/office/drawing/2014/main" pred="{4EBC5018-6CE8-99EE-6FAE-13A9D27C250E}"/>
            </a:ext>
          </a:extLst>
        </xdr:cNvPr>
        <xdr:cNvPicPr>
          <a:picLocks noChangeAspect="1"/>
        </xdr:cNvPicPr>
      </xdr:nvPicPr>
      <xdr:blipFill>
        <a:blip xmlns:r="http://schemas.openxmlformats.org/officeDocument/2006/relationships" r:embed="rId4"/>
        <a:stretch>
          <a:fillRect/>
        </a:stretch>
      </xdr:blipFill>
      <xdr:spPr>
        <a:xfrm>
          <a:off x="428625" y="14658975"/>
          <a:ext cx="4572000" cy="127635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361950</xdr:colOff>
      <xdr:row>23</xdr:row>
      <xdr:rowOff>152400</xdr:rowOff>
    </xdr:from>
    <xdr:to>
      <xdr:col>8</xdr:col>
      <xdr:colOff>133350</xdr:colOff>
      <xdr:row>42</xdr:row>
      <xdr:rowOff>85725</xdr:rowOff>
    </xdr:to>
    <xdr:pic>
      <xdr:nvPicPr>
        <xdr:cNvPr id="2" name="Image 1">
          <a:extLst>
            <a:ext uri="{FF2B5EF4-FFF2-40B4-BE49-F238E27FC236}">
              <a16:creationId xmlns:a16="http://schemas.microsoft.com/office/drawing/2014/main" id="{C60AA342-EF5A-EDF3-1739-AF5D3FA2D848}"/>
            </a:ext>
          </a:extLst>
        </xdr:cNvPr>
        <xdr:cNvPicPr>
          <a:picLocks noChangeAspect="1"/>
        </xdr:cNvPicPr>
      </xdr:nvPicPr>
      <xdr:blipFill>
        <a:blip xmlns:r="http://schemas.openxmlformats.org/officeDocument/2006/relationships" r:embed="rId1"/>
        <a:stretch>
          <a:fillRect/>
        </a:stretch>
      </xdr:blipFill>
      <xdr:spPr>
        <a:xfrm>
          <a:off x="1047750" y="4819650"/>
          <a:ext cx="4572000" cy="3733800"/>
        </a:xfrm>
        <a:prstGeom prst="rect">
          <a:avLst/>
        </a:prstGeom>
      </xdr:spPr>
    </xdr:pic>
    <xdr:clientData/>
  </xdr:twoCellAnchor>
  <xdr:twoCellAnchor editAs="oneCell">
    <xdr:from>
      <xdr:col>1</xdr:col>
      <xdr:colOff>371475</xdr:colOff>
      <xdr:row>42</xdr:row>
      <xdr:rowOff>171450</xdr:rowOff>
    </xdr:from>
    <xdr:to>
      <xdr:col>8</xdr:col>
      <xdr:colOff>142875</xdr:colOff>
      <xdr:row>60</xdr:row>
      <xdr:rowOff>152400</xdr:rowOff>
    </xdr:to>
    <xdr:pic>
      <xdr:nvPicPr>
        <xdr:cNvPr id="3" name="Image 2">
          <a:extLst>
            <a:ext uri="{FF2B5EF4-FFF2-40B4-BE49-F238E27FC236}">
              <a16:creationId xmlns:a16="http://schemas.microsoft.com/office/drawing/2014/main" id="{77042F12-3C7A-2EC0-A91E-83F99A12B18B}"/>
            </a:ext>
            <a:ext uri="{147F2762-F138-4A5C-976F-8EAC2B608ADB}">
              <a16:predDERef xmlns:a16="http://schemas.microsoft.com/office/drawing/2014/main" pred="{C60AA342-EF5A-EDF3-1739-AF5D3FA2D848}"/>
            </a:ext>
          </a:extLst>
        </xdr:cNvPr>
        <xdr:cNvPicPr>
          <a:picLocks noChangeAspect="1"/>
        </xdr:cNvPicPr>
      </xdr:nvPicPr>
      <xdr:blipFill>
        <a:blip xmlns:r="http://schemas.openxmlformats.org/officeDocument/2006/relationships" r:embed="rId2"/>
        <a:stretch>
          <a:fillRect/>
        </a:stretch>
      </xdr:blipFill>
      <xdr:spPr>
        <a:xfrm>
          <a:off x="1057275" y="8639175"/>
          <a:ext cx="4572000" cy="3581400"/>
        </a:xfrm>
        <a:prstGeom prst="rect">
          <a:avLst/>
        </a:prstGeom>
      </xdr:spPr>
    </xdr:pic>
    <xdr:clientData/>
  </xdr:twoCellAnchor>
  <xdr:twoCellAnchor editAs="oneCell">
    <xdr:from>
      <xdr:col>1</xdr:col>
      <xdr:colOff>342900</xdr:colOff>
      <xdr:row>61</xdr:row>
      <xdr:rowOff>57150</xdr:rowOff>
    </xdr:from>
    <xdr:to>
      <xdr:col>8</xdr:col>
      <xdr:colOff>114300</xdr:colOff>
      <xdr:row>71</xdr:row>
      <xdr:rowOff>171450</xdr:rowOff>
    </xdr:to>
    <xdr:pic>
      <xdr:nvPicPr>
        <xdr:cNvPr id="4" name="Image 3">
          <a:extLst>
            <a:ext uri="{FF2B5EF4-FFF2-40B4-BE49-F238E27FC236}">
              <a16:creationId xmlns:a16="http://schemas.microsoft.com/office/drawing/2014/main" id="{30760A8B-6066-B935-555D-02ABE4B290D7}"/>
            </a:ext>
            <a:ext uri="{147F2762-F138-4A5C-976F-8EAC2B608ADB}">
              <a16:predDERef xmlns:a16="http://schemas.microsoft.com/office/drawing/2014/main" pred="{77042F12-3C7A-2EC0-A91E-83F99A12B18B}"/>
            </a:ext>
          </a:extLst>
        </xdr:cNvPr>
        <xdr:cNvPicPr>
          <a:picLocks noChangeAspect="1"/>
        </xdr:cNvPicPr>
      </xdr:nvPicPr>
      <xdr:blipFill>
        <a:blip xmlns:r="http://schemas.openxmlformats.org/officeDocument/2006/relationships" r:embed="rId3"/>
        <a:stretch>
          <a:fillRect/>
        </a:stretch>
      </xdr:blipFill>
      <xdr:spPr>
        <a:xfrm>
          <a:off x="1028700" y="12325350"/>
          <a:ext cx="4572000" cy="2114550"/>
        </a:xfrm>
        <a:prstGeom prst="rect">
          <a:avLst/>
        </a:prstGeom>
      </xdr:spPr>
    </xdr:pic>
    <xdr:clientData/>
  </xdr:twoCellAnchor>
  <xdr:twoCellAnchor editAs="oneCell">
    <xdr:from>
      <xdr:col>1</xdr:col>
      <xdr:colOff>371475</xdr:colOff>
      <xdr:row>71</xdr:row>
      <xdr:rowOff>180975</xdr:rowOff>
    </xdr:from>
    <xdr:to>
      <xdr:col>8</xdr:col>
      <xdr:colOff>142875</xdr:colOff>
      <xdr:row>79</xdr:row>
      <xdr:rowOff>28575</xdr:rowOff>
    </xdr:to>
    <xdr:pic>
      <xdr:nvPicPr>
        <xdr:cNvPr id="5" name="Image 4">
          <a:extLst>
            <a:ext uri="{FF2B5EF4-FFF2-40B4-BE49-F238E27FC236}">
              <a16:creationId xmlns:a16="http://schemas.microsoft.com/office/drawing/2014/main" id="{2F64C5BE-2150-B561-39C7-9572807F13AE}"/>
            </a:ext>
            <a:ext uri="{147F2762-F138-4A5C-976F-8EAC2B608ADB}">
              <a16:predDERef xmlns:a16="http://schemas.microsoft.com/office/drawing/2014/main" pred="{30760A8B-6066-B935-555D-02ABE4B290D7}"/>
            </a:ext>
          </a:extLst>
        </xdr:cNvPr>
        <xdr:cNvPicPr>
          <a:picLocks noChangeAspect="1"/>
        </xdr:cNvPicPr>
      </xdr:nvPicPr>
      <xdr:blipFill>
        <a:blip xmlns:r="http://schemas.openxmlformats.org/officeDocument/2006/relationships" r:embed="rId4"/>
        <a:stretch>
          <a:fillRect/>
        </a:stretch>
      </xdr:blipFill>
      <xdr:spPr>
        <a:xfrm>
          <a:off x="1057275" y="14449425"/>
          <a:ext cx="4572000" cy="1447800"/>
        </a:xfrm>
        <a:prstGeom prst="rect">
          <a:avLst/>
        </a:prstGeom>
      </xdr:spPr>
    </xdr:pic>
    <xdr:clientData/>
  </xdr:twoCellAnchor>
  <xdr:twoCellAnchor editAs="oneCell">
    <xdr:from>
      <xdr:col>1</xdr:col>
      <xdr:colOff>342900</xdr:colOff>
      <xdr:row>79</xdr:row>
      <xdr:rowOff>142875</xdr:rowOff>
    </xdr:from>
    <xdr:to>
      <xdr:col>8</xdr:col>
      <xdr:colOff>114300</xdr:colOff>
      <xdr:row>99</xdr:row>
      <xdr:rowOff>9525</xdr:rowOff>
    </xdr:to>
    <xdr:pic>
      <xdr:nvPicPr>
        <xdr:cNvPr id="6" name="Image 5">
          <a:extLst>
            <a:ext uri="{FF2B5EF4-FFF2-40B4-BE49-F238E27FC236}">
              <a16:creationId xmlns:a16="http://schemas.microsoft.com/office/drawing/2014/main" id="{61682B31-D0F8-A061-93E4-A8732746D4A2}"/>
            </a:ext>
            <a:ext uri="{147F2762-F138-4A5C-976F-8EAC2B608ADB}">
              <a16:predDERef xmlns:a16="http://schemas.microsoft.com/office/drawing/2014/main" pred="{2F64C5BE-2150-B561-39C7-9572807F13AE}"/>
            </a:ext>
          </a:extLst>
        </xdr:cNvPr>
        <xdr:cNvPicPr>
          <a:picLocks noChangeAspect="1"/>
        </xdr:cNvPicPr>
      </xdr:nvPicPr>
      <xdr:blipFill>
        <a:blip xmlns:r="http://schemas.openxmlformats.org/officeDocument/2006/relationships" r:embed="rId5"/>
        <a:stretch>
          <a:fillRect/>
        </a:stretch>
      </xdr:blipFill>
      <xdr:spPr>
        <a:xfrm>
          <a:off x="1028700" y="16011525"/>
          <a:ext cx="4572000" cy="3867150"/>
        </a:xfrm>
        <a:prstGeom prst="rect">
          <a:avLst/>
        </a:prstGeom>
      </xdr:spPr>
    </xdr:pic>
    <xdr:clientData/>
  </xdr:twoCellAnchor>
  <xdr:twoCellAnchor editAs="oneCell">
    <xdr:from>
      <xdr:col>1</xdr:col>
      <xdr:colOff>209550</xdr:colOff>
      <xdr:row>11</xdr:row>
      <xdr:rowOff>180975</xdr:rowOff>
    </xdr:from>
    <xdr:to>
      <xdr:col>7</xdr:col>
      <xdr:colOff>666750</xdr:colOff>
      <xdr:row>23</xdr:row>
      <xdr:rowOff>28575</xdr:rowOff>
    </xdr:to>
    <xdr:pic>
      <xdr:nvPicPr>
        <xdr:cNvPr id="7" name="Image 6">
          <a:extLst>
            <a:ext uri="{FF2B5EF4-FFF2-40B4-BE49-F238E27FC236}">
              <a16:creationId xmlns:a16="http://schemas.microsoft.com/office/drawing/2014/main" id="{8DD09F0C-FB2A-F1F8-1F76-BDE2094038D3}"/>
            </a:ext>
            <a:ext uri="{147F2762-F138-4A5C-976F-8EAC2B608ADB}">
              <a16:predDERef xmlns:a16="http://schemas.microsoft.com/office/drawing/2014/main" pred="{61682B31-D0F8-A061-93E4-A8732746D4A2}"/>
            </a:ext>
          </a:extLst>
        </xdr:cNvPr>
        <xdr:cNvPicPr>
          <a:picLocks noChangeAspect="1"/>
        </xdr:cNvPicPr>
      </xdr:nvPicPr>
      <xdr:blipFill>
        <a:blip xmlns:r="http://schemas.openxmlformats.org/officeDocument/2006/relationships" r:embed="rId6"/>
        <a:stretch>
          <a:fillRect/>
        </a:stretch>
      </xdr:blipFill>
      <xdr:spPr>
        <a:xfrm>
          <a:off x="895350" y="2447925"/>
          <a:ext cx="4572000" cy="2247900"/>
        </a:xfrm>
        <a:prstGeom prst="rect">
          <a:avLst/>
        </a:prstGeom>
      </xdr:spPr>
    </xdr:pic>
    <xdr:clientData/>
  </xdr:twoCellAnchor>
  <xdr:twoCellAnchor editAs="oneCell">
    <xdr:from>
      <xdr:col>1</xdr:col>
      <xdr:colOff>238125</xdr:colOff>
      <xdr:row>100</xdr:row>
      <xdr:rowOff>28575</xdr:rowOff>
    </xdr:from>
    <xdr:to>
      <xdr:col>8</xdr:col>
      <xdr:colOff>9525</xdr:colOff>
      <xdr:row>109</xdr:row>
      <xdr:rowOff>152400</xdr:rowOff>
    </xdr:to>
    <xdr:pic>
      <xdr:nvPicPr>
        <xdr:cNvPr id="8" name="Image 7">
          <a:extLst>
            <a:ext uri="{FF2B5EF4-FFF2-40B4-BE49-F238E27FC236}">
              <a16:creationId xmlns:a16="http://schemas.microsoft.com/office/drawing/2014/main" id="{A1778149-060B-0281-9A97-D27A031BF60E}"/>
            </a:ext>
            <a:ext uri="{147F2762-F138-4A5C-976F-8EAC2B608ADB}">
              <a16:predDERef xmlns:a16="http://schemas.microsoft.com/office/drawing/2014/main" pred="{8DD09F0C-FB2A-F1F8-1F76-BDE2094038D3}"/>
            </a:ext>
          </a:extLst>
        </xdr:cNvPr>
        <xdr:cNvPicPr>
          <a:picLocks noChangeAspect="1"/>
        </xdr:cNvPicPr>
      </xdr:nvPicPr>
      <xdr:blipFill>
        <a:blip xmlns:r="http://schemas.openxmlformats.org/officeDocument/2006/relationships" r:embed="rId7"/>
        <a:stretch>
          <a:fillRect/>
        </a:stretch>
      </xdr:blipFill>
      <xdr:spPr>
        <a:xfrm>
          <a:off x="923925" y="20097750"/>
          <a:ext cx="4572000" cy="192405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104775</xdr:colOff>
      <xdr:row>26</xdr:row>
      <xdr:rowOff>152400</xdr:rowOff>
    </xdr:from>
    <xdr:to>
      <xdr:col>5</xdr:col>
      <xdr:colOff>609600</xdr:colOff>
      <xdr:row>31</xdr:row>
      <xdr:rowOff>104775</xdr:rowOff>
    </xdr:to>
    <xdr:pic>
      <xdr:nvPicPr>
        <xdr:cNvPr id="2" name="Image 1">
          <a:extLst>
            <a:ext uri="{FF2B5EF4-FFF2-40B4-BE49-F238E27FC236}">
              <a16:creationId xmlns:a16="http://schemas.microsoft.com/office/drawing/2014/main" id="{40C7AFCD-95FE-76EC-1B3A-8CEB4754F6D6}"/>
            </a:ext>
          </a:extLst>
        </xdr:cNvPr>
        <xdr:cNvPicPr>
          <a:picLocks noChangeAspect="1"/>
        </xdr:cNvPicPr>
      </xdr:nvPicPr>
      <xdr:blipFill>
        <a:blip xmlns:r="http://schemas.openxmlformats.org/officeDocument/2006/relationships" r:embed="rId1"/>
        <a:stretch>
          <a:fillRect/>
        </a:stretch>
      </xdr:blipFill>
      <xdr:spPr>
        <a:xfrm>
          <a:off x="266700" y="6219825"/>
          <a:ext cx="4352925" cy="952500"/>
        </a:xfrm>
        <a:prstGeom prst="rect">
          <a:avLst/>
        </a:prstGeom>
      </xdr:spPr>
    </xdr:pic>
    <xdr:clientData/>
  </xdr:twoCellAnchor>
  <xdr:twoCellAnchor editAs="oneCell">
    <xdr:from>
      <xdr:col>1</xdr:col>
      <xdr:colOff>628650</xdr:colOff>
      <xdr:row>9</xdr:row>
      <xdr:rowOff>123825</xdr:rowOff>
    </xdr:from>
    <xdr:to>
      <xdr:col>4</xdr:col>
      <xdr:colOff>619125</xdr:colOff>
      <xdr:row>20</xdr:row>
      <xdr:rowOff>971550</xdr:rowOff>
    </xdr:to>
    <xdr:pic>
      <xdr:nvPicPr>
        <xdr:cNvPr id="3" name="Image 2">
          <a:extLst>
            <a:ext uri="{FF2B5EF4-FFF2-40B4-BE49-F238E27FC236}">
              <a16:creationId xmlns:a16="http://schemas.microsoft.com/office/drawing/2014/main" id="{5B37B028-6EBA-849F-BE39-99845645187B}"/>
            </a:ext>
            <a:ext uri="{147F2762-F138-4A5C-976F-8EAC2B608ADB}">
              <a16:predDERef xmlns:a16="http://schemas.microsoft.com/office/drawing/2014/main" pred="{40C7AFCD-95FE-76EC-1B3A-8CEB4754F6D6}"/>
            </a:ext>
          </a:extLst>
        </xdr:cNvPr>
        <xdr:cNvPicPr>
          <a:picLocks noChangeAspect="1"/>
        </xdr:cNvPicPr>
      </xdr:nvPicPr>
      <xdr:blipFill>
        <a:blip xmlns:r="http://schemas.openxmlformats.org/officeDocument/2006/relationships" r:embed="rId2"/>
        <a:stretch>
          <a:fillRect/>
        </a:stretch>
      </xdr:blipFill>
      <xdr:spPr>
        <a:xfrm>
          <a:off x="790575" y="2790825"/>
          <a:ext cx="3152775" cy="3086100"/>
        </a:xfrm>
        <a:prstGeom prst="rect">
          <a:avLst/>
        </a:prstGeom>
      </xdr:spPr>
    </xdr:pic>
    <xdr:clientData/>
  </xdr:twoCellAnchor>
  <xdr:twoCellAnchor editAs="oneCell">
    <xdr:from>
      <xdr:col>21</xdr:col>
      <xdr:colOff>152400</xdr:colOff>
      <xdr:row>30</xdr:row>
      <xdr:rowOff>180975</xdr:rowOff>
    </xdr:from>
    <xdr:to>
      <xdr:col>27</xdr:col>
      <xdr:colOff>609600</xdr:colOff>
      <xdr:row>37</xdr:row>
      <xdr:rowOff>28575</xdr:rowOff>
    </xdr:to>
    <xdr:pic>
      <xdr:nvPicPr>
        <xdr:cNvPr id="4" name="Image 3">
          <a:extLst>
            <a:ext uri="{FF2B5EF4-FFF2-40B4-BE49-F238E27FC236}">
              <a16:creationId xmlns:a16="http://schemas.microsoft.com/office/drawing/2014/main" id="{CD530AB0-62EE-3E6C-F003-46DD9B1713B7}"/>
            </a:ext>
            <a:ext uri="{147F2762-F138-4A5C-976F-8EAC2B608ADB}">
              <a16:predDERef xmlns:a16="http://schemas.microsoft.com/office/drawing/2014/main" pred="{5B37B028-6EBA-849F-BE39-99845645187B}"/>
            </a:ext>
          </a:extLst>
        </xdr:cNvPr>
        <xdr:cNvPicPr>
          <a:picLocks noChangeAspect="1"/>
        </xdr:cNvPicPr>
      </xdr:nvPicPr>
      <xdr:blipFill>
        <a:blip xmlns:r="http://schemas.openxmlformats.org/officeDocument/2006/relationships" r:embed="rId3"/>
        <a:stretch>
          <a:fillRect/>
        </a:stretch>
      </xdr:blipFill>
      <xdr:spPr>
        <a:xfrm>
          <a:off x="10658475" y="7515225"/>
          <a:ext cx="4572000" cy="1247775"/>
        </a:xfrm>
        <a:prstGeom prst="rect">
          <a:avLst/>
        </a:prstGeom>
      </xdr:spPr>
    </xdr:pic>
    <xdr:clientData/>
  </xdr:twoCellAnchor>
  <xdr:twoCellAnchor editAs="oneCell">
    <xdr:from>
      <xdr:col>21</xdr:col>
      <xdr:colOff>142875</xdr:colOff>
      <xdr:row>14</xdr:row>
      <xdr:rowOff>142875</xdr:rowOff>
    </xdr:from>
    <xdr:to>
      <xdr:col>27</xdr:col>
      <xdr:colOff>600075</xdr:colOff>
      <xdr:row>26</xdr:row>
      <xdr:rowOff>142875</xdr:rowOff>
    </xdr:to>
    <xdr:pic>
      <xdr:nvPicPr>
        <xdr:cNvPr id="5" name="Image 4">
          <a:extLst>
            <a:ext uri="{FF2B5EF4-FFF2-40B4-BE49-F238E27FC236}">
              <a16:creationId xmlns:a16="http://schemas.microsoft.com/office/drawing/2014/main" id="{B90AFCDF-7701-0DB8-11D4-BEB8581CD791}"/>
            </a:ext>
            <a:ext uri="{147F2762-F138-4A5C-976F-8EAC2B608ADB}">
              <a16:predDERef xmlns:a16="http://schemas.microsoft.com/office/drawing/2014/main" pred="{CD530AB0-62EE-3E6C-F003-46DD9B1713B7}"/>
            </a:ext>
          </a:extLst>
        </xdr:cNvPr>
        <xdr:cNvPicPr>
          <a:picLocks noChangeAspect="1"/>
        </xdr:cNvPicPr>
      </xdr:nvPicPr>
      <xdr:blipFill>
        <a:blip xmlns:r="http://schemas.openxmlformats.org/officeDocument/2006/relationships" r:embed="rId4"/>
        <a:stretch>
          <a:fillRect/>
        </a:stretch>
      </xdr:blipFill>
      <xdr:spPr>
        <a:xfrm>
          <a:off x="10648950" y="4276725"/>
          <a:ext cx="4572000" cy="3248025"/>
        </a:xfrm>
        <a:prstGeom prst="rect">
          <a:avLst/>
        </a:prstGeom>
      </xdr:spPr>
    </xdr:pic>
    <xdr:clientData/>
  </xdr:twoCellAnchor>
  <xdr:twoCellAnchor editAs="oneCell">
    <xdr:from>
      <xdr:col>21</xdr:col>
      <xdr:colOff>285750</xdr:colOff>
      <xdr:row>37</xdr:row>
      <xdr:rowOff>190500</xdr:rowOff>
    </xdr:from>
    <xdr:to>
      <xdr:col>26</xdr:col>
      <xdr:colOff>523875</xdr:colOff>
      <xdr:row>46</xdr:row>
      <xdr:rowOff>9525</xdr:rowOff>
    </xdr:to>
    <xdr:pic>
      <xdr:nvPicPr>
        <xdr:cNvPr id="6" name="Image 5">
          <a:extLst>
            <a:ext uri="{FF2B5EF4-FFF2-40B4-BE49-F238E27FC236}">
              <a16:creationId xmlns:a16="http://schemas.microsoft.com/office/drawing/2014/main" id="{B2380F09-F9A5-5C8D-10E3-3C0F1617ECB0}"/>
            </a:ext>
            <a:ext uri="{147F2762-F138-4A5C-976F-8EAC2B608ADB}">
              <a16:predDERef xmlns:a16="http://schemas.microsoft.com/office/drawing/2014/main" pred="{B90AFCDF-7701-0DB8-11D4-BEB8581CD791}"/>
            </a:ext>
          </a:extLst>
        </xdr:cNvPr>
        <xdr:cNvPicPr>
          <a:picLocks noChangeAspect="1"/>
        </xdr:cNvPicPr>
      </xdr:nvPicPr>
      <xdr:blipFill>
        <a:blip xmlns:r="http://schemas.openxmlformats.org/officeDocument/2006/relationships" r:embed="rId5"/>
        <a:stretch>
          <a:fillRect/>
        </a:stretch>
      </xdr:blipFill>
      <xdr:spPr>
        <a:xfrm>
          <a:off x="10791825" y="8924925"/>
          <a:ext cx="3667125" cy="1619250"/>
        </a:xfrm>
        <a:prstGeom prst="rect">
          <a:avLst/>
        </a:prstGeom>
      </xdr:spPr>
    </xdr:pic>
    <xdr:clientData/>
  </xdr:twoCellAnchor>
  <xdr:twoCellAnchor editAs="oneCell">
    <xdr:from>
      <xdr:col>29</xdr:col>
      <xdr:colOff>285750</xdr:colOff>
      <xdr:row>7</xdr:row>
      <xdr:rowOff>95250</xdr:rowOff>
    </xdr:from>
    <xdr:to>
      <xdr:col>39</xdr:col>
      <xdr:colOff>76200</xdr:colOff>
      <xdr:row>19</xdr:row>
      <xdr:rowOff>57150</xdr:rowOff>
    </xdr:to>
    <xdr:pic>
      <xdr:nvPicPr>
        <xdr:cNvPr id="7" name="Image 6">
          <a:extLst>
            <a:ext uri="{FF2B5EF4-FFF2-40B4-BE49-F238E27FC236}">
              <a16:creationId xmlns:a16="http://schemas.microsoft.com/office/drawing/2014/main" id="{13D744B8-9438-3824-410E-4475FF37B6A1}"/>
            </a:ext>
            <a:ext uri="{147F2762-F138-4A5C-976F-8EAC2B608ADB}">
              <a16:predDERef xmlns:a16="http://schemas.microsoft.com/office/drawing/2014/main" pred="{B2380F09-F9A5-5C8D-10E3-3C0F1617ECB0}"/>
            </a:ext>
          </a:extLst>
        </xdr:cNvPr>
        <xdr:cNvPicPr>
          <a:picLocks noChangeAspect="1"/>
        </xdr:cNvPicPr>
      </xdr:nvPicPr>
      <xdr:blipFill>
        <a:blip xmlns:r="http://schemas.openxmlformats.org/officeDocument/2006/relationships" r:embed="rId6"/>
        <a:stretch>
          <a:fillRect/>
        </a:stretch>
      </xdr:blipFill>
      <xdr:spPr>
        <a:xfrm>
          <a:off x="15754350" y="1962150"/>
          <a:ext cx="6858000" cy="2400300"/>
        </a:xfrm>
        <a:prstGeom prst="rect">
          <a:avLst/>
        </a:prstGeom>
      </xdr:spPr>
    </xdr:pic>
    <xdr:clientData/>
  </xdr:twoCellAnchor>
  <xdr:twoCellAnchor editAs="oneCell">
    <xdr:from>
      <xdr:col>6</xdr:col>
      <xdr:colOff>647700</xdr:colOff>
      <xdr:row>20</xdr:row>
      <xdr:rowOff>0</xdr:rowOff>
    </xdr:from>
    <xdr:to>
      <xdr:col>8</xdr:col>
      <xdr:colOff>438150</xdr:colOff>
      <xdr:row>28</xdr:row>
      <xdr:rowOff>9525</xdr:rowOff>
    </xdr:to>
    <xdr:pic>
      <xdr:nvPicPr>
        <xdr:cNvPr id="8" name="Image 7">
          <a:extLst>
            <a:ext uri="{FF2B5EF4-FFF2-40B4-BE49-F238E27FC236}">
              <a16:creationId xmlns:a16="http://schemas.microsoft.com/office/drawing/2014/main" id="{BDB3C2D2-B6C1-CEBA-99D1-719139228DD0}"/>
            </a:ext>
            <a:ext uri="{147F2762-F138-4A5C-976F-8EAC2B608ADB}">
              <a16:predDERef xmlns:a16="http://schemas.microsoft.com/office/drawing/2014/main" pred="{13D744B8-9438-3824-410E-4475FF37B6A1}"/>
            </a:ext>
          </a:extLst>
        </xdr:cNvPr>
        <xdr:cNvPicPr>
          <a:picLocks noChangeAspect="1"/>
        </xdr:cNvPicPr>
      </xdr:nvPicPr>
      <xdr:blipFill>
        <a:blip xmlns:r="http://schemas.openxmlformats.org/officeDocument/2006/relationships" r:embed="rId7"/>
        <a:stretch>
          <a:fillRect/>
        </a:stretch>
      </xdr:blipFill>
      <xdr:spPr>
        <a:xfrm>
          <a:off x="5343525" y="4505325"/>
          <a:ext cx="3333750" cy="2457450"/>
        </a:xfrm>
        <a:prstGeom prst="rect">
          <a:avLst/>
        </a:prstGeom>
      </xdr:spPr>
    </xdr:pic>
    <xdr:clientData/>
  </xdr:twoCellAnchor>
  <xdr:twoCellAnchor editAs="oneCell">
    <xdr:from>
      <xdr:col>6</xdr:col>
      <xdr:colOff>523875</xdr:colOff>
      <xdr:row>16</xdr:row>
      <xdr:rowOff>0</xdr:rowOff>
    </xdr:from>
    <xdr:to>
      <xdr:col>8</xdr:col>
      <xdr:colOff>495300</xdr:colOff>
      <xdr:row>19</xdr:row>
      <xdr:rowOff>66675</xdr:rowOff>
    </xdr:to>
    <xdr:pic>
      <xdr:nvPicPr>
        <xdr:cNvPr id="9" name="Image 8">
          <a:extLst>
            <a:ext uri="{FF2B5EF4-FFF2-40B4-BE49-F238E27FC236}">
              <a16:creationId xmlns:a16="http://schemas.microsoft.com/office/drawing/2014/main" id="{E668DE51-EA24-E229-BEBE-C4AD5BCAD433}"/>
            </a:ext>
            <a:ext uri="{147F2762-F138-4A5C-976F-8EAC2B608ADB}">
              <a16:predDERef xmlns:a16="http://schemas.microsoft.com/office/drawing/2014/main" pred="{BDB3C2D2-B6C1-CEBA-99D1-719139228DD0}"/>
            </a:ext>
          </a:extLst>
        </xdr:cNvPr>
        <xdr:cNvPicPr>
          <a:picLocks noChangeAspect="1"/>
        </xdr:cNvPicPr>
      </xdr:nvPicPr>
      <xdr:blipFill>
        <a:blip xmlns:r="http://schemas.openxmlformats.org/officeDocument/2006/relationships" r:embed="rId8"/>
        <a:stretch>
          <a:fillRect/>
        </a:stretch>
      </xdr:blipFill>
      <xdr:spPr>
        <a:xfrm>
          <a:off x="5219700" y="3705225"/>
          <a:ext cx="3514725" cy="666750"/>
        </a:xfrm>
        <a:prstGeom prst="rect">
          <a:avLst/>
        </a:prstGeom>
      </xdr:spPr>
    </xdr:pic>
    <xdr:clientData/>
  </xdr:twoCellAnchor>
  <xdr:twoCellAnchor editAs="oneCell">
    <xdr:from>
      <xdr:col>6</xdr:col>
      <xdr:colOff>609600</xdr:colOff>
      <xdr:row>29</xdr:row>
      <xdr:rowOff>171450</xdr:rowOff>
    </xdr:from>
    <xdr:to>
      <xdr:col>8</xdr:col>
      <xdr:colOff>523875</xdr:colOff>
      <xdr:row>35</xdr:row>
      <xdr:rowOff>133350</xdr:rowOff>
    </xdr:to>
    <xdr:pic>
      <xdr:nvPicPr>
        <xdr:cNvPr id="10" name="Image 9">
          <a:extLst>
            <a:ext uri="{FF2B5EF4-FFF2-40B4-BE49-F238E27FC236}">
              <a16:creationId xmlns:a16="http://schemas.microsoft.com/office/drawing/2014/main" id="{8F5FE4C4-C3B4-125A-5B7E-3ECC85CC9BB3}"/>
            </a:ext>
            <a:ext uri="{147F2762-F138-4A5C-976F-8EAC2B608ADB}">
              <a16:predDERef xmlns:a16="http://schemas.microsoft.com/office/drawing/2014/main" pred="{E668DE51-EA24-E229-BEBE-C4AD5BCAD433}"/>
            </a:ext>
          </a:extLst>
        </xdr:cNvPr>
        <xdr:cNvPicPr>
          <a:picLocks noChangeAspect="1"/>
        </xdr:cNvPicPr>
      </xdr:nvPicPr>
      <xdr:blipFill>
        <a:blip xmlns:r="http://schemas.openxmlformats.org/officeDocument/2006/relationships" r:embed="rId9"/>
        <a:stretch>
          <a:fillRect/>
        </a:stretch>
      </xdr:blipFill>
      <xdr:spPr>
        <a:xfrm>
          <a:off x="5305425" y="7324725"/>
          <a:ext cx="3457575" cy="116205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381000</xdr:colOff>
      <xdr:row>15</xdr:row>
      <xdr:rowOff>85725</xdr:rowOff>
    </xdr:from>
    <xdr:to>
      <xdr:col>6</xdr:col>
      <xdr:colOff>533400</xdr:colOff>
      <xdr:row>28</xdr:row>
      <xdr:rowOff>171450</xdr:rowOff>
    </xdr:to>
    <xdr:pic>
      <xdr:nvPicPr>
        <xdr:cNvPr id="2" name="Image 1">
          <a:extLst>
            <a:ext uri="{FF2B5EF4-FFF2-40B4-BE49-F238E27FC236}">
              <a16:creationId xmlns:a16="http://schemas.microsoft.com/office/drawing/2014/main" id="{EE58F745-7E77-AC2C-1E95-C47C0DEFC9BC}"/>
            </a:ext>
          </a:extLst>
        </xdr:cNvPr>
        <xdr:cNvPicPr>
          <a:picLocks noChangeAspect="1"/>
        </xdr:cNvPicPr>
      </xdr:nvPicPr>
      <xdr:blipFill>
        <a:blip xmlns:r="http://schemas.openxmlformats.org/officeDocument/2006/relationships" r:embed="rId1"/>
        <a:stretch>
          <a:fillRect/>
        </a:stretch>
      </xdr:blipFill>
      <xdr:spPr>
        <a:xfrm>
          <a:off x="476250" y="3152775"/>
          <a:ext cx="3581400" cy="26860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95250</xdr:colOff>
      <xdr:row>8</xdr:row>
      <xdr:rowOff>19050</xdr:rowOff>
    </xdr:from>
    <xdr:to>
      <xdr:col>7</xdr:col>
      <xdr:colOff>161925</xdr:colOff>
      <xdr:row>15</xdr:row>
      <xdr:rowOff>9525</xdr:rowOff>
    </xdr:to>
    <xdr:pic>
      <xdr:nvPicPr>
        <xdr:cNvPr id="2" name="Image 1">
          <a:extLst>
            <a:ext uri="{FF2B5EF4-FFF2-40B4-BE49-F238E27FC236}">
              <a16:creationId xmlns:a16="http://schemas.microsoft.com/office/drawing/2014/main" id="{00BFA56C-E361-0FD0-FBA3-80224A2D01B5}"/>
            </a:ext>
          </a:extLst>
        </xdr:cNvPr>
        <xdr:cNvPicPr>
          <a:picLocks noChangeAspect="1"/>
        </xdr:cNvPicPr>
      </xdr:nvPicPr>
      <xdr:blipFill>
        <a:blip xmlns:r="http://schemas.openxmlformats.org/officeDocument/2006/relationships" r:embed="rId1"/>
        <a:stretch>
          <a:fillRect/>
        </a:stretch>
      </xdr:blipFill>
      <xdr:spPr>
        <a:xfrm>
          <a:off x="219075" y="1619250"/>
          <a:ext cx="4562475" cy="1390650"/>
        </a:xfrm>
        <a:prstGeom prst="rect">
          <a:avLst/>
        </a:prstGeom>
      </xdr:spPr>
    </xdr:pic>
    <xdr:clientData/>
  </xdr:twoCellAnchor>
  <xdr:twoCellAnchor editAs="oneCell">
    <xdr:from>
      <xdr:col>9</xdr:col>
      <xdr:colOff>123825</xdr:colOff>
      <xdr:row>8</xdr:row>
      <xdr:rowOff>114300</xdr:rowOff>
    </xdr:from>
    <xdr:to>
      <xdr:col>15</xdr:col>
      <xdr:colOff>323850</xdr:colOff>
      <xdr:row>14</xdr:row>
      <xdr:rowOff>76200</xdr:rowOff>
    </xdr:to>
    <xdr:pic>
      <xdr:nvPicPr>
        <xdr:cNvPr id="3" name="Image 2">
          <a:extLst>
            <a:ext uri="{FF2B5EF4-FFF2-40B4-BE49-F238E27FC236}">
              <a16:creationId xmlns:a16="http://schemas.microsoft.com/office/drawing/2014/main" id="{9FF1B12F-5AAF-478B-AEDD-7B408133ED30}"/>
            </a:ext>
            <a:ext uri="{147F2762-F138-4A5C-976F-8EAC2B608ADB}">
              <a16:predDERef xmlns:a16="http://schemas.microsoft.com/office/drawing/2014/main" pred="{00BFA56C-E361-0FD0-FBA3-80224A2D01B5}"/>
            </a:ext>
          </a:extLst>
        </xdr:cNvPr>
        <xdr:cNvPicPr>
          <a:picLocks noChangeAspect="1"/>
        </xdr:cNvPicPr>
      </xdr:nvPicPr>
      <xdr:blipFill>
        <a:blip xmlns:r="http://schemas.openxmlformats.org/officeDocument/2006/relationships" r:embed="rId2"/>
        <a:stretch>
          <a:fillRect/>
        </a:stretch>
      </xdr:blipFill>
      <xdr:spPr>
        <a:xfrm>
          <a:off x="5172075" y="1781175"/>
          <a:ext cx="4572000" cy="1162050"/>
        </a:xfrm>
        <a:prstGeom prst="rect">
          <a:avLst/>
        </a:prstGeom>
      </xdr:spPr>
    </xdr:pic>
    <xdr:clientData/>
  </xdr:twoCellAnchor>
  <xdr:twoCellAnchor editAs="oneCell">
    <xdr:from>
      <xdr:col>9</xdr:col>
      <xdr:colOff>123825</xdr:colOff>
      <xdr:row>15</xdr:row>
      <xdr:rowOff>152400</xdr:rowOff>
    </xdr:from>
    <xdr:to>
      <xdr:col>15</xdr:col>
      <xdr:colOff>323850</xdr:colOff>
      <xdr:row>22</xdr:row>
      <xdr:rowOff>57150</xdr:rowOff>
    </xdr:to>
    <xdr:pic>
      <xdr:nvPicPr>
        <xdr:cNvPr id="4" name="Image 3">
          <a:extLst>
            <a:ext uri="{FF2B5EF4-FFF2-40B4-BE49-F238E27FC236}">
              <a16:creationId xmlns:a16="http://schemas.microsoft.com/office/drawing/2014/main" id="{624EEDCB-335F-C72C-6180-B7B2FF200CE3}"/>
            </a:ext>
            <a:ext uri="{147F2762-F138-4A5C-976F-8EAC2B608ADB}">
              <a16:predDERef xmlns:a16="http://schemas.microsoft.com/office/drawing/2014/main" pred="{9FF1B12F-5AAF-478B-AEDD-7B408133ED30}"/>
            </a:ext>
          </a:extLst>
        </xdr:cNvPr>
        <xdr:cNvPicPr>
          <a:picLocks noChangeAspect="1"/>
        </xdr:cNvPicPr>
      </xdr:nvPicPr>
      <xdr:blipFill>
        <a:blip xmlns:r="http://schemas.openxmlformats.org/officeDocument/2006/relationships" r:embed="rId3"/>
        <a:stretch>
          <a:fillRect/>
        </a:stretch>
      </xdr:blipFill>
      <xdr:spPr>
        <a:xfrm>
          <a:off x="5172075" y="3219450"/>
          <a:ext cx="4572000" cy="1304925"/>
        </a:xfrm>
        <a:prstGeom prst="rect">
          <a:avLst/>
        </a:prstGeom>
      </xdr:spPr>
    </xdr:pic>
    <xdr:clientData/>
  </xdr:twoCellAnchor>
  <xdr:twoCellAnchor editAs="oneCell">
    <xdr:from>
      <xdr:col>17</xdr:col>
      <xdr:colOff>66675</xdr:colOff>
      <xdr:row>7</xdr:row>
      <xdr:rowOff>180975</xdr:rowOff>
    </xdr:from>
    <xdr:to>
      <xdr:col>23</xdr:col>
      <xdr:colOff>209550</xdr:colOff>
      <xdr:row>14</xdr:row>
      <xdr:rowOff>38100</xdr:rowOff>
    </xdr:to>
    <xdr:pic>
      <xdr:nvPicPr>
        <xdr:cNvPr id="6" name="Image 4">
          <a:extLst>
            <a:ext uri="{FF2B5EF4-FFF2-40B4-BE49-F238E27FC236}">
              <a16:creationId xmlns:a16="http://schemas.microsoft.com/office/drawing/2014/main" id="{A25884C3-4EB6-A044-FC47-5D7C0F42D565}"/>
            </a:ext>
            <a:ext uri="{147F2762-F138-4A5C-976F-8EAC2B608ADB}">
              <a16:predDERef xmlns:a16="http://schemas.microsoft.com/office/drawing/2014/main" pred="{624EEDCB-335F-C72C-6180-B7B2FF200CE3}"/>
            </a:ext>
          </a:extLst>
        </xdr:cNvPr>
        <xdr:cNvPicPr>
          <a:picLocks noChangeAspect="1"/>
        </xdr:cNvPicPr>
      </xdr:nvPicPr>
      <xdr:blipFill>
        <a:blip xmlns:r="http://schemas.openxmlformats.org/officeDocument/2006/relationships" r:embed="rId4"/>
        <a:stretch>
          <a:fillRect/>
        </a:stretch>
      </xdr:blipFill>
      <xdr:spPr>
        <a:xfrm>
          <a:off x="10039350" y="1647825"/>
          <a:ext cx="4572000" cy="1257300"/>
        </a:xfrm>
        <a:prstGeom prst="rect">
          <a:avLst/>
        </a:prstGeom>
      </xdr:spPr>
    </xdr:pic>
    <xdr:clientData/>
  </xdr:twoCellAnchor>
  <xdr:twoCellAnchor editAs="oneCell">
    <xdr:from>
      <xdr:col>25</xdr:col>
      <xdr:colOff>133350</xdr:colOff>
      <xdr:row>5</xdr:row>
      <xdr:rowOff>133350</xdr:rowOff>
    </xdr:from>
    <xdr:to>
      <xdr:col>29</xdr:col>
      <xdr:colOff>619125</xdr:colOff>
      <xdr:row>14</xdr:row>
      <xdr:rowOff>47625</xdr:rowOff>
    </xdr:to>
    <xdr:pic>
      <xdr:nvPicPr>
        <xdr:cNvPr id="7" name="Image 6">
          <a:extLst>
            <a:ext uri="{FF2B5EF4-FFF2-40B4-BE49-F238E27FC236}">
              <a16:creationId xmlns:a16="http://schemas.microsoft.com/office/drawing/2014/main" id="{407E21B6-9DA6-3BA4-1B35-3818426AA292}"/>
            </a:ext>
            <a:ext uri="{147F2762-F138-4A5C-976F-8EAC2B608ADB}">
              <a16:predDERef xmlns:a16="http://schemas.microsoft.com/office/drawing/2014/main" pred="{A25884C3-4EB6-A044-FC47-5D7C0F42D565}"/>
            </a:ext>
          </a:extLst>
        </xdr:cNvPr>
        <xdr:cNvPicPr>
          <a:picLocks noChangeAspect="1"/>
        </xdr:cNvPicPr>
      </xdr:nvPicPr>
      <xdr:blipFill>
        <a:blip xmlns:r="http://schemas.openxmlformats.org/officeDocument/2006/relationships" r:embed="rId5"/>
        <a:stretch>
          <a:fillRect/>
        </a:stretch>
      </xdr:blipFill>
      <xdr:spPr>
        <a:xfrm>
          <a:off x="15030450" y="1200150"/>
          <a:ext cx="3228975" cy="1714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304800</xdr:colOff>
      <xdr:row>22</xdr:row>
      <xdr:rowOff>85725</xdr:rowOff>
    </xdr:from>
    <xdr:to>
      <xdr:col>1</xdr:col>
      <xdr:colOff>6019800</xdr:colOff>
      <xdr:row>50</xdr:row>
      <xdr:rowOff>133350</xdr:rowOff>
    </xdr:to>
    <xdr:pic>
      <xdr:nvPicPr>
        <xdr:cNvPr id="2" name="Image 1">
          <a:extLst>
            <a:ext uri="{FF2B5EF4-FFF2-40B4-BE49-F238E27FC236}">
              <a16:creationId xmlns:a16="http://schemas.microsoft.com/office/drawing/2014/main" id="{E159AA8A-175F-3135-F2B0-77DB8D99CFCB}"/>
            </a:ext>
          </a:extLst>
        </xdr:cNvPr>
        <xdr:cNvPicPr>
          <a:picLocks noChangeAspect="1"/>
        </xdr:cNvPicPr>
      </xdr:nvPicPr>
      <xdr:blipFill>
        <a:blip xmlns:r="http://schemas.openxmlformats.org/officeDocument/2006/relationships" r:embed="rId1"/>
        <a:stretch>
          <a:fillRect/>
        </a:stretch>
      </xdr:blipFill>
      <xdr:spPr>
        <a:xfrm>
          <a:off x="400050" y="5314950"/>
          <a:ext cx="5715000" cy="5648325"/>
        </a:xfrm>
        <a:prstGeom prst="rect">
          <a:avLst/>
        </a:prstGeom>
      </xdr:spPr>
    </xdr:pic>
    <xdr:clientData/>
  </xdr:twoCellAnchor>
  <xdr:twoCellAnchor editAs="oneCell">
    <xdr:from>
      <xdr:col>1</xdr:col>
      <xdr:colOff>142875</xdr:colOff>
      <xdr:row>52</xdr:row>
      <xdr:rowOff>76200</xdr:rowOff>
    </xdr:from>
    <xdr:to>
      <xdr:col>5</xdr:col>
      <xdr:colOff>809625</xdr:colOff>
      <xdr:row>79</xdr:row>
      <xdr:rowOff>57150</xdr:rowOff>
    </xdr:to>
    <xdr:pic>
      <xdr:nvPicPr>
        <xdr:cNvPr id="3" name="Image 2">
          <a:extLst>
            <a:ext uri="{FF2B5EF4-FFF2-40B4-BE49-F238E27FC236}">
              <a16:creationId xmlns:a16="http://schemas.microsoft.com/office/drawing/2014/main" id="{6689312F-98DA-B346-745D-FFE6C943AE86}"/>
            </a:ext>
            <a:ext uri="{147F2762-F138-4A5C-976F-8EAC2B608ADB}">
              <a16:predDERef xmlns:a16="http://schemas.microsoft.com/office/drawing/2014/main" pred="{E159AA8A-175F-3135-F2B0-77DB8D99CFCB}"/>
            </a:ext>
          </a:extLst>
        </xdr:cNvPr>
        <xdr:cNvPicPr>
          <a:picLocks noChangeAspect="1"/>
        </xdr:cNvPicPr>
      </xdr:nvPicPr>
      <xdr:blipFill>
        <a:blip xmlns:r="http://schemas.openxmlformats.org/officeDocument/2006/relationships" r:embed="rId2"/>
        <a:stretch>
          <a:fillRect/>
        </a:stretch>
      </xdr:blipFill>
      <xdr:spPr>
        <a:xfrm>
          <a:off x="238125" y="11306175"/>
          <a:ext cx="10458450" cy="5381625"/>
        </a:xfrm>
        <a:prstGeom prst="rect">
          <a:avLst/>
        </a:prstGeom>
      </xdr:spPr>
    </xdr:pic>
    <xdr:clientData/>
  </xdr:twoCellAnchor>
  <xdr:twoCellAnchor editAs="oneCell">
    <xdr:from>
      <xdr:col>3</xdr:col>
      <xdr:colOff>238125</xdr:colOff>
      <xdr:row>22</xdr:row>
      <xdr:rowOff>66675</xdr:rowOff>
    </xdr:from>
    <xdr:to>
      <xdr:col>10</xdr:col>
      <xdr:colOff>476250</xdr:colOff>
      <xdr:row>47</xdr:row>
      <xdr:rowOff>47625</xdr:rowOff>
    </xdr:to>
    <xdr:pic>
      <xdr:nvPicPr>
        <xdr:cNvPr id="4" name="Image 3">
          <a:extLst>
            <a:ext uri="{FF2B5EF4-FFF2-40B4-BE49-F238E27FC236}">
              <a16:creationId xmlns:a16="http://schemas.microsoft.com/office/drawing/2014/main" id="{38DF892B-13E6-0039-29C3-030093981B02}"/>
            </a:ext>
            <a:ext uri="{147F2762-F138-4A5C-976F-8EAC2B608ADB}">
              <a16:predDERef xmlns:a16="http://schemas.microsoft.com/office/drawing/2014/main" pred="{6689312F-98DA-B346-745D-FFE6C943AE86}"/>
            </a:ext>
          </a:extLst>
        </xdr:cNvPr>
        <xdr:cNvPicPr>
          <a:picLocks noChangeAspect="1"/>
        </xdr:cNvPicPr>
      </xdr:nvPicPr>
      <xdr:blipFill>
        <a:blip xmlns:r="http://schemas.openxmlformats.org/officeDocument/2006/relationships" r:embed="rId3"/>
        <a:stretch>
          <a:fillRect/>
        </a:stretch>
      </xdr:blipFill>
      <xdr:spPr>
        <a:xfrm>
          <a:off x="7743825" y="5295900"/>
          <a:ext cx="7048500" cy="4981575"/>
        </a:xfrm>
        <a:prstGeom prst="rect">
          <a:avLst/>
        </a:prstGeom>
      </xdr:spPr>
    </xdr:pic>
    <xdr:clientData/>
  </xdr:twoCellAnchor>
  <xdr:twoCellAnchor editAs="oneCell">
    <xdr:from>
      <xdr:col>1</xdr:col>
      <xdr:colOff>933450</xdr:colOff>
      <xdr:row>81</xdr:row>
      <xdr:rowOff>66675</xdr:rowOff>
    </xdr:from>
    <xdr:to>
      <xdr:col>2</xdr:col>
      <xdr:colOff>1066800</xdr:colOff>
      <xdr:row>112</xdr:row>
      <xdr:rowOff>66675</xdr:rowOff>
    </xdr:to>
    <xdr:pic>
      <xdr:nvPicPr>
        <xdr:cNvPr id="5" name="Image 4">
          <a:extLst>
            <a:ext uri="{FF2B5EF4-FFF2-40B4-BE49-F238E27FC236}">
              <a16:creationId xmlns:a16="http://schemas.microsoft.com/office/drawing/2014/main" id="{8DED566C-6A7F-EEEC-F542-1C8E9EDD7907}"/>
            </a:ext>
            <a:ext uri="{147F2762-F138-4A5C-976F-8EAC2B608ADB}">
              <a16:predDERef xmlns:a16="http://schemas.microsoft.com/office/drawing/2014/main" pred="{38DF892B-13E6-0039-29C3-030093981B02}"/>
            </a:ext>
          </a:extLst>
        </xdr:cNvPr>
        <xdr:cNvPicPr>
          <a:picLocks noChangeAspect="1"/>
        </xdr:cNvPicPr>
      </xdr:nvPicPr>
      <xdr:blipFill>
        <a:blip xmlns:r="http://schemas.openxmlformats.org/officeDocument/2006/relationships" r:embed="rId4"/>
        <a:stretch>
          <a:fillRect/>
        </a:stretch>
      </xdr:blipFill>
      <xdr:spPr>
        <a:xfrm>
          <a:off x="1028700" y="17097375"/>
          <a:ext cx="6353175" cy="6200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571500</xdr:colOff>
      <xdr:row>15</xdr:row>
      <xdr:rowOff>142875</xdr:rowOff>
    </xdr:from>
    <xdr:to>
      <xdr:col>5</xdr:col>
      <xdr:colOff>552450</xdr:colOff>
      <xdr:row>18</xdr:row>
      <xdr:rowOff>133350</xdr:rowOff>
    </xdr:to>
    <xdr:pic>
      <xdr:nvPicPr>
        <xdr:cNvPr id="2" name="Image 1">
          <a:extLst>
            <a:ext uri="{FF2B5EF4-FFF2-40B4-BE49-F238E27FC236}">
              <a16:creationId xmlns:a16="http://schemas.microsoft.com/office/drawing/2014/main" id="{7603D185-D151-E492-9F22-E9B4B4F2972D}"/>
            </a:ext>
          </a:extLst>
        </xdr:cNvPr>
        <xdr:cNvPicPr>
          <a:picLocks noChangeAspect="1"/>
        </xdr:cNvPicPr>
      </xdr:nvPicPr>
      <xdr:blipFill>
        <a:blip xmlns:r="http://schemas.openxmlformats.org/officeDocument/2006/relationships" r:embed="rId1"/>
        <a:stretch>
          <a:fillRect/>
        </a:stretch>
      </xdr:blipFill>
      <xdr:spPr>
        <a:xfrm>
          <a:off x="571500" y="3143250"/>
          <a:ext cx="4572000" cy="590550"/>
        </a:xfrm>
        <a:prstGeom prst="rect">
          <a:avLst/>
        </a:prstGeom>
      </xdr:spPr>
    </xdr:pic>
    <xdr:clientData/>
  </xdr:twoCellAnchor>
  <xdr:twoCellAnchor editAs="oneCell">
    <xdr:from>
      <xdr:col>0</xdr:col>
      <xdr:colOff>542925</xdr:colOff>
      <xdr:row>26</xdr:row>
      <xdr:rowOff>9525</xdr:rowOff>
    </xdr:from>
    <xdr:to>
      <xdr:col>5</xdr:col>
      <xdr:colOff>219075</xdr:colOff>
      <xdr:row>41</xdr:row>
      <xdr:rowOff>9525</xdr:rowOff>
    </xdr:to>
    <xdr:pic>
      <xdr:nvPicPr>
        <xdr:cNvPr id="4" name="Image 3">
          <a:extLst>
            <a:ext uri="{FF2B5EF4-FFF2-40B4-BE49-F238E27FC236}">
              <a16:creationId xmlns:a16="http://schemas.microsoft.com/office/drawing/2014/main" id="{D3E57042-0758-837B-99B7-7AC9E6DEAD37}"/>
            </a:ext>
            <a:ext uri="{147F2762-F138-4A5C-976F-8EAC2B608ADB}">
              <a16:predDERef xmlns:a16="http://schemas.microsoft.com/office/drawing/2014/main" pred="{A3B1D0B2-D54C-6535-6CA5-38098EF28994}"/>
            </a:ext>
          </a:extLst>
        </xdr:cNvPr>
        <xdr:cNvPicPr>
          <a:picLocks noChangeAspect="1"/>
        </xdr:cNvPicPr>
      </xdr:nvPicPr>
      <xdr:blipFill>
        <a:blip xmlns:r="http://schemas.openxmlformats.org/officeDocument/2006/relationships" r:embed="rId2"/>
        <a:stretch>
          <a:fillRect/>
        </a:stretch>
      </xdr:blipFill>
      <xdr:spPr>
        <a:xfrm>
          <a:off x="542925" y="5210175"/>
          <a:ext cx="4238625" cy="3000375"/>
        </a:xfrm>
        <a:prstGeom prst="rect">
          <a:avLst/>
        </a:prstGeom>
      </xdr:spPr>
    </xdr:pic>
    <xdr:clientData/>
  </xdr:twoCellAnchor>
  <xdr:twoCellAnchor editAs="oneCell">
    <xdr:from>
      <xdr:col>0</xdr:col>
      <xdr:colOff>485775</xdr:colOff>
      <xdr:row>19</xdr:row>
      <xdr:rowOff>9525</xdr:rowOff>
    </xdr:from>
    <xdr:to>
      <xdr:col>5</xdr:col>
      <xdr:colOff>552450</xdr:colOff>
      <xdr:row>25</xdr:row>
      <xdr:rowOff>76200</xdr:rowOff>
    </xdr:to>
    <xdr:pic>
      <xdr:nvPicPr>
        <xdr:cNvPr id="5" name="Image 4">
          <a:extLst>
            <a:ext uri="{FF2B5EF4-FFF2-40B4-BE49-F238E27FC236}">
              <a16:creationId xmlns:a16="http://schemas.microsoft.com/office/drawing/2014/main" id="{5C61AB12-9F82-31BF-4231-717ABFD84E98}"/>
            </a:ext>
            <a:ext uri="{147F2762-F138-4A5C-976F-8EAC2B608ADB}">
              <a16:predDERef xmlns:a16="http://schemas.microsoft.com/office/drawing/2014/main" pred="{D3E57042-0758-837B-99B7-7AC9E6DEAD37}"/>
            </a:ext>
          </a:extLst>
        </xdr:cNvPr>
        <xdr:cNvPicPr>
          <a:picLocks noChangeAspect="1"/>
        </xdr:cNvPicPr>
      </xdr:nvPicPr>
      <xdr:blipFill>
        <a:blip xmlns:r="http://schemas.openxmlformats.org/officeDocument/2006/relationships" r:embed="rId3"/>
        <a:stretch>
          <a:fillRect/>
        </a:stretch>
      </xdr:blipFill>
      <xdr:spPr>
        <a:xfrm>
          <a:off x="485775" y="3810000"/>
          <a:ext cx="4572000" cy="1266825"/>
        </a:xfrm>
        <a:prstGeom prst="rect">
          <a:avLst/>
        </a:prstGeom>
      </xdr:spPr>
    </xdr:pic>
    <xdr:clientData/>
  </xdr:twoCellAnchor>
  <xdr:twoCellAnchor editAs="oneCell">
    <xdr:from>
      <xdr:col>0</xdr:col>
      <xdr:colOff>657225</xdr:colOff>
      <xdr:row>41</xdr:row>
      <xdr:rowOff>142875</xdr:rowOff>
    </xdr:from>
    <xdr:to>
      <xdr:col>5</xdr:col>
      <xdr:colOff>552450</xdr:colOff>
      <xdr:row>54</xdr:row>
      <xdr:rowOff>142875</xdr:rowOff>
    </xdr:to>
    <xdr:pic>
      <xdr:nvPicPr>
        <xdr:cNvPr id="6" name="Image 5">
          <a:extLst>
            <a:ext uri="{FF2B5EF4-FFF2-40B4-BE49-F238E27FC236}">
              <a16:creationId xmlns:a16="http://schemas.microsoft.com/office/drawing/2014/main" id="{D671DB80-EA46-6644-9573-41F6FC4F3C7A}"/>
            </a:ext>
            <a:ext uri="{147F2762-F138-4A5C-976F-8EAC2B608ADB}">
              <a16:predDERef xmlns:a16="http://schemas.microsoft.com/office/drawing/2014/main" pred="{5C61AB12-9F82-31BF-4231-717ABFD84E98}"/>
            </a:ext>
          </a:extLst>
        </xdr:cNvPr>
        <xdr:cNvPicPr>
          <a:picLocks noChangeAspect="1"/>
        </xdr:cNvPicPr>
      </xdr:nvPicPr>
      <xdr:blipFill>
        <a:blip xmlns:r="http://schemas.openxmlformats.org/officeDocument/2006/relationships" r:embed="rId4"/>
        <a:stretch>
          <a:fillRect/>
        </a:stretch>
      </xdr:blipFill>
      <xdr:spPr>
        <a:xfrm>
          <a:off x="657225" y="8343900"/>
          <a:ext cx="4572000" cy="2600325"/>
        </a:xfrm>
        <a:prstGeom prst="rect">
          <a:avLst/>
        </a:prstGeom>
      </xdr:spPr>
    </xdr:pic>
    <xdr:clientData/>
  </xdr:twoCellAnchor>
  <xdr:twoCellAnchor editAs="oneCell">
    <xdr:from>
      <xdr:col>1</xdr:col>
      <xdr:colOff>57150</xdr:colOff>
      <xdr:row>55</xdr:row>
      <xdr:rowOff>9525</xdr:rowOff>
    </xdr:from>
    <xdr:to>
      <xdr:col>5</xdr:col>
      <xdr:colOff>609600</xdr:colOff>
      <xdr:row>64</xdr:row>
      <xdr:rowOff>19050</xdr:rowOff>
    </xdr:to>
    <xdr:pic>
      <xdr:nvPicPr>
        <xdr:cNvPr id="7" name="Image 6">
          <a:extLst>
            <a:ext uri="{FF2B5EF4-FFF2-40B4-BE49-F238E27FC236}">
              <a16:creationId xmlns:a16="http://schemas.microsoft.com/office/drawing/2014/main" id="{2BDA64F4-58AA-0642-59EF-00174155B989}"/>
            </a:ext>
            <a:ext uri="{147F2762-F138-4A5C-976F-8EAC2B608ADB}">
              <a16:predDERef xmlns:a16="http://schemas.microsoft.com/office/drawing/2014/main" pred="{D671DB80-EA46-6644-9573-41F6FC4F3C7A}"/>
            </a:ext>
          </a:extLst>
        </xdr:cNvPr>
        <xdr:cNvPicPr>
          <a:picLocks noChangeAspect="1"/>
        </xdr:cNvPicPr>
      </xdr:nvPicPr>
      <xdr:blipFill>
        <a:blip xmlns:r="http://schemas.openxmlformats.org/officeDocument/2006/relationships" r:embed="rId5"/>
        <a:stretch>
          <a:fillRect/>
        </a:stretch>
      </xdr:blipFill>
      <xdr:spPr>
        <a:xfrm>
          <a:off x="742950" y="11010900"/>
          <a:ext cx="4572000" cy="1809750"/>
        </a:xfrm>
        <a:prstGeom prst="rect">
          <a:avLst/>
        </a:prstGeom>
      </xdr:spPr>
    </xdr:pic>
    <xdr:clientData/>
  </xdr:twoCellAnchor>
  <xdr:twoCellAnchor editAs="oneCell">
    <xdr:from>
      <xdr:col>1</xdr:col>
      <xdr:colOff>142875</xdr:colOff>
      <xdr:row>65</xdr:row>
      <xdr:rowOff>9525</xdr:rowOff>
    </xdr:from>
    <xdr:to>
      <xdr:col>5</xdr:col>
      <xdr:colOff>695325</xdr:colOff>
      <xdr:row>70</xdr:row>
      <xdr:rowOff>104775</xdr:rowOff>
    </xdr:to>
    <xdr:pic>
      <xdr:nvPicPr>
        <xdr:cNvPr id="8" name="Image 7">
          <a:extLst>
            <a:ext uri="{FF2B5EF4-FFF2-40B4-BE49-F238E27FC236}">
              <a16:creationId xmlns:a16="http://schemas.microsoft.com/office/drawing/2014/main" id="{6A948359-EDCE-68EF-7095-56829E9DAD7C}"/>
            </a:ext>
            <a:ext uri="{147F2762-F138-4A5C-976F-8EAC2B608ADB}">
              <a16:predDERef xmlns:a16="http://schemas.microsoft.com/office/drawing/2014/main" pred="{2BDA64F4-58AA-0642-59EF-00174155B989}"/>
            </a:ext>
          </a:extLst>
        </xdr:cNvPr>
        <xdr:cNvPicPr>
          <a:picLocks noChangeAspect="1"/>
        </xdr:cNvPicPr>
      </xdr:nvPicPr>
      <xdr:blipFill>
        <a:blip xmlns:r="http://schemas.openxmlformats.org/officeDocument/2006/relationships" r:embed="rId6"/>
        <a:stretch>
          <a:fillRect/>
        </a:stretch>
      </xdr:blipFill>
      <xdr:spPr>
        <a:xfrm>
          <a:off x="828675" y="13011150"/>
          <a:ext cx="4572000" cy="1095375"/>
        </a:xfrm>
        <a:prstGeom prst="rect">
          <a:avLst/>
        </a:prstGeom>
      </xdr:spPr>
    </xdr:pic>
    <xdr:clientData/>
  </xdr:twoCellAnchor>
  <xdr:twoCellAnchor editAs="oneCell">
    <xdr:from>
      <xdr:col>1</xdr:col>
      <xdr:colOff>47625</xdr:colOff>
      <xdr:row>79</xdr:row>
      <xdr:rowOff>180975</xdr:rowOff>
    </xdr:from>
    <xdr:to>
      <xdr:col>5</xdr:col>
      <xdr:colOff>600075</xdr:colOff>
      <xdr:row>94</xdr:row>
      <xdr:rowOff>0</xdr:rowOff>
    </xdr:to>
    <xdr:pic>
      <xdr:nvPicPr>
        <xdr:cNvPr id="9" name="Image 8">
          <a:extLst>
            <a:ext uri="{FF2B5EF4-FFF2-40B4-BE49-F238E27FC236}">
              <a16:creationId xmlns:a16="http://schemas.microsoft.com/office/drawing/2014/main" id="{20923CF6-A78F-E91D-F854-B77746157557}"/>
            </a:ext>
            <a:ext uri="{147F2762-F138-4A5C-976F-8EAC2B608ADB}">
              <a16:predDERef xmlns:a16="http://schemas.microsoft.com/office/drawing/2014/main" pred="{6A948359-EDCE-68EF-7095-56829E9DAD7C}"/>
            </a:ext>
          </a:extLst>
        </xdr:cNvPr>
        <xdr:cNvPicPr>
          <a:picLocks noChangeAspect="1"/>
        </xdr:cNvPicPr>
      </xdr:nvPicPr>
      <xdr:blipFill>
        <a:blip xmlns:r="http://schemas.openxmlformats.org/officeDocument/2006/relationships" r:embed="rId7"/>
        <a:stretch>
          <a:fillRect/>
        </a:stretch>
      </xdr:blipFill>
      <xdr:spPr>
        <a:xfrm>
          <a:off x="142875" y="16049625"/>
          <a:ext cx="4572000" cy="2819400"/>
        </a:xfrm>
        <a:prstGeom prst="rect">
          <a:avLst/>
        </a:prstGeom>
      </xdr:spPr>
    </xdr:pic>
    <xdr:clientData/>
  </xdr:twoCellAnchor>
  <xdr:twoCellAnchor editAs="oneCell">
    <xdr:from>
      <xdr:col>17</xdr:col>
      <xdr:colOff>200025</xdr:colOff>
      <xdr:row>16</xdr:row>
      <xdr:rowOff>104775</xdr:rowOff>
    </xdr:from>
    <xdr:to>
      <xdr:col>22</xdr:col>
      <xdr:colOff>390525</xdr:colOff>
      <xdr:row>24</xdr:row>
      <xdr:rowOff>19050</xdr:rowOff>
    </xdr:to>
    <xdr:pic>
      <xdr:nvPicPr>
        <xdr:cNvPr id="10" name="Image 9">
          <a:extLst>
            <a:ext uri="{FF2B5EF4-FFF2-40B4-BE49-F238E27FC236}">
              <a16:creationId xmlns:a16="http://schemas.microsoft.com/office/drawing/2014/main" id="{713900BA-9B99-BF6E-1B3E-BF88DC4A5238}"/>
            </a:ext>
            <a:ext uri="{147F2762-F138-4A5C-976F-8EAC2B608ADB}">
              <a16:predDERef xmlns:a16="http://schemas.microsoft.com/office/drawing/2014/main" pred="{20923CF6-A78F-E91D-F854-B77746157557}"/>
            </a:ext>
          </a:extLst>
        </xdr:cNvPr>
        <xdr:cNvPicPr>
          <a:picLocks noChangeAspect="1"/>
        </xdr:cNvPicPr>
      </xdr:nvPicPr>
      <xdr:blipFill>
        <a:blip xmlns:r="http://schemas.openxmlformats.org/officeDocument/2006/relationships" r:embed="rId8"/>
        <a:stretch>
          <a:fillRect/>
        </a:stretch>
      </xdr:blipFill>
      <xdr:spPr>
        <a:xfrm>
          <a:off x="10677525" y="3371850"/>
          <a:ext cx="3619500" cy="1514475"/>
        </a:xfrm>
        <a:prstGeom prst="rect">
          <a:avLst/>
        </a:prstGeom>
      </xdr:spPr>
    </xdr:pic>
    <xdr:clientData/>
  </xdr:twoCellAnchor>
  <xdr:twoCellAnchor editAs="oneCell">
    <xdr:from>
      <xdr:col>17</xdr:col>
      <xdr:colOff>200025</xdr:colOff>
      <xdr:row>25</xdr:row>
      <xdr:rowOff>114300</xdr:rowOff>
    </xdr:from>
    <xdr:to>
      <xdr:col>22</xdr:col>
      <xdr:colOff>352425</xdr:colOff>
      <xdr:row>31</xdr:row>
      <xdr:rowOff>38100</xdr:rowOff>
    </xdr:to>
    <xdr:pic>
      <xdr:nvPicPr>
        <xdr:cNvPr id="11" name="Image 10">
          <a:extLst>
            <a:ext uri="{FF2B5EF4-FFF2-40B4-BE49-F238E27FC236}">
              <a16:creationId xmlns:a16="http://schemas.microsoft.com/office/drawing/2014/main" id="{221C9823-B965-BD7D-A9A8-6B5FCAB1671F}"/>
            </a:ext>
            <a:ext uri="{147F2762-F138-4A5C-976F-8EAC2B608ADB}">
              <a16:predDERef xmlns:a16="http://schemas.microsoft.com/office/drawing/2014/main" pred="{713900BA-9B99-BF6E-1B3E-BF88DC4A5238}"/>
            </a:ext>
          </a:extLst>
        </xdr:cNvPr>
        <xdr:cNvPicPr>
          <a:picLocks noChangeAspect="1"/>
        </xdr:cNvPicPr>
      </xdr:nvPicPr>
      <xdr:blipFill>
        <a:blip xmlns:r="http://schemas.openxmlformats.org/officeDocument/2006/relationships" r:embed="rId9"/>
        <a:stretch>
          <a:fillRect/>
        </a:stretch>
      </xdr:blipFill>
      <xdr:spPr>
        <a:xfrm>
          <a:off x="5324475" y="5181600"/>
          <a:ext cx="3581400" cy="1123950"/>
        </a:xfrm>
        <a:prstGeom prst="rect">
          <a:avLst/>
        </a:prstGeom>
      </xdr:spPr>
    </xdr:pic>
    <xdr:clientData/>
  </xdr:twoCellAnchor>
  <xdr:twoCellAnchor editAs="oneCell">
    <xdr:from>
      <xdr:col>17</xdr:col>
      <xdr:colOff>314325</xdr:colOff>
      <xdr:row>7</xdr:row>
      <xdr:rowOff>114300</xdr:rowOff>
    </xdr:from>
    <xdr:to>
      <xdr:col>22</xdr:col>
      <xdr:colOff>333375</xdr:colOff>
      <xdr:row>16</xdr:row>
      <xdr:rowOff>38100</xdr:rowOff>
    </xdr:to>
    <xdr:pic>
      <xdr:nvPicPr>
        <xdr:cNvPr id="12" name="Image 11">
          <a:extLst>
            <a:ext uri="{FF2B5EF4-FFF2-40B4-BE49-F238E27FC236}">
              <a16:creationId xmlns:a16="http://schemas.microsoft.com/office/drawing/2014/main" id="{2E995B7E-8677-9D5A-D2EB-0145B5C8417C}"/>
            </a:ext>
            <a:ext uri="{147F2762-F138-4A5C-976F-8EAC2B608ADB}">
              <a16:predDERef xmlns:a16="http://schemas.microsoft.com/office/drawing/2014/main" pred="{221C9823-B965-BD7D-A9A8-6B5FCAB1671F}"/>
            </a:ext>
          </a:extLst>
        </xdr:cNvPr>
        <xdr:cNvPicPr>
          <a:picLocks noChangeAspect="1"/>
        </xdr:cNvPicPr>
      </xdr:nvPicPr>
      <xdr:blipFill>
        <a:blip xmlns:r="http://schemas.openxmlformats.org/officeDocument/2006/relationships" r:embed="rId10"/>
        <a:stretch>
          <a:fillRect/>
        </a:stretch>
      </xdr:blipFill>
      <xdr:spPr>
        <a:xfrm>
          <a:off x="10791825" y="1581150"/>
          <a:ext cx="3448050" cy="1724025"/>
        </a:xfrm>
        <a:prstGeom prst="rect">
          <a:avLst/>
        </a:prstGeom>
      </xdr:spPr>
    </xdr:pic>
    <xdr:clientData/>
  </xdr:twoCellAnchor>
  <xdr:twoCellAnchor editAs="oneCell">
    <xdr:from>
      <xdr:col>8</xdr:col>
      <xdr:colOff>171450</xdr:colOff>
      <xdr:row>15</xdr:row>
      <xdr:rowOff>38100</xdr:rowOff>
    </xdr:from>
    <xdr:to>
      <xdr:col>15</xdr:col>
      <xdr:colOff>333375</xdr:colOff>
      <xdr:row>25</xdr:row>
      <xdr:rowOff>57150</xdr:rowOff>
    </xdr:to>
    <xdr:pic>
      <xdr:nvPicPr>
        <xdr:cNvPr id="13" name="Image 12">
          <a:extLst>
            <a:ext uri="{FF2B5EF4-FFF2-40B4-BE49-F238E27FC236}">
              <a16:creationId xmlns:a16="http://schemas.microsoft.com/office/drawing/2014/main" id="{547D1A6D-483D-7AE2-2F31-10B662099750}"/>
            </a:ext>
            <a:ext uri="{147F2762-F138-4A5C-976F-8EAC2B608ADB}">
              <a16:predDERef xmlns:a16="http://schemas.microsoft.com/office/drawing/2014/main" pred="{2E995B7E-8677-9D5A-D2EB-0145B5C8417C}"/>
            </a:ext>
          </a:extLst>
        </xdr:cNvPr>
        <xdr:cNvPicPr>
          <a:picLocks noChangeAspect="1"/>
        </xdr:cNvPicPr>
      </xdr:nvPicPr>
      <xdr:blipFill>
        <a:blip xmlns:r="http://schemas.openxmlformats.org/officeDocument/2006/relationships" r:embed="rId11"/>
        <a:stretch>
          <a:fillRect/>
        </a:stretch>
      </xdr:blipFill>
      <xdr:spPr>
        <a:xfrm>
          <a:off x="5067300" y="3105150"/>
          <a:ext cx="4962525" cy="2019300"/>
        </a:xfrm>
        <a:prstGeom prst="rect">
          <a:avLst/>
        </a:prstGeom>
      </xdr:spPr>
    </xdr:pic>
    <xdr:clientData/>
  </xdr:twoCellAnchor>
  <xdr:twoCellAnchor editAs="oneCell">
    <xdr:from>
      <xdr:col>1</xdr:col>
      <xdr:colOff>85725</xdr:colOff>
      <xdr:row>71</xdr:row>
      <xdr:rowOff>47625</xdr:rowOff>
    </xdr:from>
    <xdr:to>
      <xdr:col>5</xdr:col>
      <xdr:colOff>638175</xdr:colOff>
      <xdr:row>79</xdr:row>
      <xdr:rowOff>38100</xdr:rowOff>
    </xdr:to>
    <xdr:pic>
      <xdr:nvPicPr>
        <xdr:cNvPr id="14" name="Image 13">
          <a:extLst>
            <a:ext uri="{FF2B5EF4-FFF2-40B4-BE49-F238E27FC236}">
              <a16:creationId xmlns:a16="http://schemas.microsoft.com/office/drawing/2014/main" id="{D9DC31C0-F65F-6888-2655-73571B4C5063}"/>
            </a:ext>
            <a:ext uri="{147F2762-F138-4A5C-976F-8EAC2B608ADB}">
              <a16:predDERef xmlns:a16="http://schemas.microsoft.com/office/drawing/2014/main" pred="{547D1A6D-483D-7AE2-2F31-10B662099750}"/>
            </a:ext>
          </a:extLst>
        </xdr:cNvPr>
        <xdr:cNvPicPr>
          <a:picLocks noChangeAspect="1"/>
        </xdr:cNvPicPr>
      </xdr:nvPicPr>
      <xdr:blipFill>
        <a:blip xmlns:r="http://schemas.openxmlformats.org/officeDocument/2006/relationships" r:embed="rId12"/>
        <a:stretch>
          <a:fillRect/>
        </a:stretch>
      </xdr:blipFill>
      <xdr:spPr>
        <a:xfrm>
          <a:off x="180975" y="14316075"/>
          <a:ext cx="4572000" cy="15906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352425</xdr:colOff>
      <xdr:row>10</xdr:row>
      <xdr:rowOff>171450</xdr:rowOff>
    </xdr:from>
    <xdr:to>
      <xdr:col>5</xdr:col>
      <xdr:colOff>1209675</xdr:colOff>
      <xdr:row>20</xdr:row>
      <xdr:rowOff>180975</xdr:rowOff>
    </xdr:to>
    <xdr:pic>
      <xdr:nvPicPr>
        <xdr:cNvPr id="2" name="Image 1">
          <a:extLst>
            <a:ext uri="{FF2B5EF4-FFF2-40B4-BE49-F238E27FC236}">
              <a16:creationId xmlns:a16="http://schemas.microsoft.com/office/drawing/2014/main" id="{04EBBCCD-DAAF-FB65-C0D0-ADA5ACA522E6}"/>
            </a:ext>
          </a:extLst>
        </xdr:cNvPr>
        <xdr:cNvPicPr>
          <a:picLocks noChangeAspect="1"/>
        </xdr:cNvPicPr>
      </xdr:nvPicPr>
      <xdr:blipFill>
        <a:blip xmlns:r="http://schemas.openxmlformats.org/officeDocument/2006/relationships" r:embed="rId1"/>
        <a:stretch>
          <a:fillRect/>
        </a:stretch>
      </xdr:blipFill>
      <xdr:spPr>
        <a:xfrm>
          <a:off x="514350" y="2724150"/>
          <a:ext cx="6934200" cy="2019300"/>
        </a:xfrm>
        <a:prstGeom prst="rect">
          <a:avLst/>
        </a:prstGeom>
      </xdr:spPr>
    </xdr:pic>
    <xdr:clientData/>
  </xdr:twoCellAnchor>
  <xdr:twoCellAnchor editAs="oneCell">
    <xdr:from>
      <xdr:col>8</xdr:col>
      <xdr:colOff>514350</xdr:colOff>
      <xdr:row>12</xdr:row>
      <xdr:rowOff>104775</xdr:rowOff>
    </xdr:from>
    <xdr:to>
      <xdr:col>11</xdr:col>
      <xdr:colOff>581025</xdr:colOff>
      <xdr:row>32</xdr:row>
      <xdr:rowOff>47625</xdr:rowOff>
    </xdr:to>
    <xdr:pic>
      <xdr:nvPicPr>
        <xdr:cNvPr id="3" name="Image 2">
          <a:extLst>
            <a:ext uri="{FF2B5EF4-FFF2-40B4-BE49-F238E27FC236}">
              <a16:creationId xmlns:a16="http://schemas.microsoft.com/office/drawing/2014/main" id="{9782EB05-5133-2E55-5540-CE063D8634B8}"/>
            </a:ext>
            <a:ext uri="{147F2762-F138-4A5C-976F-8EAC2B608ADB}">
              <a16:predDERef xmlns:a16="http://schemas.microsoft.com/office/drawing/2014/main" pred="{04EBBCCD-DAAF-FB65-C0D0-ADA5ACA522E6}"/>
            </a:ext>
          </a:extLst>
        </xdr:cNvPr>
        <xdr:cNvPicPr>
          <a:picLocks noChangeAspect="1"/>
        </xdr:cNvPicPr>
      </xdr:nvPicPr>
      <xdr:blipFill>
        <a:blip xmlns:r="http://schemas.openxmlformats.org/officeDocument/2006/relationships" r:embed="rId2"/>
        <a:stretch>
          <a:fillRect/>
        </a:stretch>
      </xdr:blipFill>
      <xdr:spPr>
        <a:xfrm>
          <a:off x="8972550" y="3086100"/>
          <a:ext cx="4572000" cy="3943350"/>
        </a:xfrm>
        <a:prstGeom prst="rect">
          <a:avLst/>
        </a:prstGeom>
      </xdr:spPr>
    </xdr:pic>
    <xdr:clientData/>
  </xdr:twoCellAnchor>
  <xdr:twoCellAnchor editAs="oneCell">
    <xdr:from>
      <xdr:col>1</xdr:col>
      <xdr:colOff>1590675</xdr:colOff>
      <xdr:row>22</xdr:row>
      <xdr:rowOff>57150</xdr:rowOff>
    </xdr:from>
    <xdr:to>
      <xdr:col>5</xdr:col>
      <xdr:colOff>85725</xdr:colOff>
      <xdr:row>36</xdr:row>
      <xdr:rowOff>57150</xdr:rowOff>
    </xdr:to>
    <xdr:pic>
      <xdr:nvPicPr>
        <xdr:cNvPr id="4" name="Image 3">
          <a:extLst>
            <a:ext uri="{FF2B5EF4-FFF2-40B4-BE49-F238E27FC236}">
              <a16:creationId xmlns:a16="http://schemas.microsoft.com/office/drawing/2014/main" id="{98D1B513-218E-27FB-2D44-E3C4B837EE22}"/>
            </a:ext>
            <a:ext uri="{147F2762-F138-4A5C-976F-8EAC2B608ADB}">
              <a16:predDERef xmlns:a16="http://schemas.microsoft.com/office/drawing/2014/main" pred="{9782EB05-5133-2E55-5540-CE063D8634B8}"/>
            </a:ext>
          </a:extLst>
        </xdr:cNvPr>
        <xdr:cNvPicPr>
          <a:picLocks noChangeAspect="1"/>
        </xdr:cNvPicPr>
      </xdr:nvPicPr>
      <xdr:blipFill>
        <a:blip xmlns:r="http://schemas.openxmlformats.org/officeDocument/2006/relationships" r:embed="rId3"/>
        <a:stretch>
          <a:fillRect/>
        </a:stretch>
      </xdr:blipFill>
      <xdr:spPr>
        <a:xfrm>
          <a:off x="1752600" y="5057775"/>
          <a:ext cx="4572000" cy="2800350"/>
        </a:xfrm>
        <a:prstGeom prst="rect">
          <a:avLst/>
        </a:prstGeom>
      </xdr:spPr>
    </xdr:pic>
    <xdr:clientData/>
  </xdr:twoCellAnchor>
  <xdr:twoCellAnchor editAs="oneCell">
    <xdr:from>
      <xdr:col>15</xdr:col>
      <xdr:colOff>552450</xdr:colOff>
      <xdr:row>11</xdr:row>
      <xdr:rowOff>123825</xdr:rowOff>
    </xdr:from>
    <xdr:to>
      <xdr:col>19</xdr:col>
      <xdr:colOff>1123950</xdr:colOff>
      <xdr:row>19</xdr:row>
      <xdr:rowOff>114300</xdr:rowOff>
    </xdr:to>
    <xdr:pic>
      <xdr:nvPicPr>
        <xdr:cNvPr id="6" name="Image 5">
          <a:extLst>
            <a:ext uri="{FF2B5EF4-FFF2-40B4-BE49-F238E27FC236}">
              <a16:creationId xmlns:a16="http://schemas.microsoft.com/office/drawing/2014/main" id="{F987AA48-E681-E795-691E-8DBF4F3BCC94}"/>
            </a:ext>
            <a:ext uri="{147F2762-F138-4A5C-976F-8EAC2B608ADB}">
              <a16:predDERef xmlns:a16="http://schemas.microsoft.com/office/drawing/2014/main" pred="{14B13926-758C-925F-B277-3D7AE5DBA5F8}"/>
            </a:ext>
          </a:extLst>
        </xdr:cNvPr>
        <xdr:cNvPicPr>
          <a:picLocks noChangeAspect="1"/>
        </xdr:cNvPicPr>
      </xdr:nvPicPr>
      <xdr:blipFill>
        <a:blip xmlns:r="http://schemas.openxmlformats.org/officeDocument/2006/relationships" r:embed="rId4"/>
        <a:stretch>
          <a:fillRect/>
        </a:stretch>
      </xdr:blipFill>
      <xdr:spPr>
        <a:xfrm>
          <a:off x="16449675" y="2924175"/>
          <a:ext cx="6934200" cy="1590675"/>
        </a:xfrm>
        <a:prstGeom prst="rect">
          <a:avLst/>
        </a:prstGeom>
      </xdr:spPr>
    </xdr:pic>
    <xdr:clientData/>
  </xdr:twoCellAnchor>
  <xdr:twoCellAnchor editAs="oneCell">
    <xdr:from>
      <xdr:col>15</xdr:col>
      <xdr:colOff>142875</xdr:colOff>
      <xdr:row>20</xdr:row>
      <xdr:rowOff>9525</xdr:rowOff>
    </xdr:from>
    <xdr:to>
      <xdr:col>19</xdr:col>
      <xdr:colOff>1333500</xdr:colOff>
      <xdr:row>32</xdr:row>
      <xdr:rowOff>171450</xdr:rowOff>
    </xdr:to>
    <xdr:pic>
      <xdr:nvPicPr>
        <xdr:cNvPr id="7" name="Image 6">
          <a:extLst>
            <a:ext uri="{FF2B5EF4-FFF2-40B4-BE49-F238E27FC236}">
              <a16:creationId xmlns:a16="http://schemas.microsoft.com/office/drawing/2014/main" id="{91892E74-D556-D019-1708-1D1720787C2F}"/>
            </a:ext>
            <a:ext uri="{147F2762-F138-4A5C-976F-8EAC2B608ADB}">
              <a16:predDERef xmlns:a16="http://schemas.microsoft.com/office/drawing/2014/main" pred="{F987AA48-E681-E795-691E-8DBF4F3BCC94}"/>
            </a:ext>
          </a:extLst>
        </xdr:cNvPr>
        <xdr:cNvPicPr>
          <a:picLocks noChangeAspect="1"/>
        </xdr:cNvPicPr>
      </xdr:nvPicPr>
      <xdr:blipFill>
        <a:blip xmlns:r="http://schemas.openxmlformats.org/officeDocument/2006/relationships" r:embed="rId5"/>
        <a:stretch>
          <a:fillRect/>
        </a:stretch>
      </xdr:blipFill>
      <xdr:spPr>
        <a:xfrm>
          <a:off x="16040100" y="4610100"/>
          <a:ext cx="7553325" cy="2562225"/>
        </a:xfrm>
        <a:prstGeom prst="rect">
          <a:avLst/>
        </a:prstGeom>
      </xdr:spPr>
    </xdr:pic>
    <xdr:clientData/>
  </xdr:twoCellAnchor>
  <xdr:twoCellAnchor editAs="oneCell">
    <xdr:from>
      <xdr:col>15</xdr:col>
      <xdr:colOff>733425</xdr:colOff>
      <xdr:row>37</xdr:row>
      <xdr:rowOff>47625</xdr:rowOff>
    </xdr:from>
    <xdr:to>
      <xdr:col>17</xdr:col>
      <xdr:colOff>1266825</xdr:colOff>
      <xdr:row>74</xdr:row>
      <xdr:rowOff>95250</xdr:rowOff>
    </xdr:to>
    <xdr:pic>
      <xdr:nvPicPr>
        <xdr:cNvPr id="8" name="Image 7">
          <a:extLst>
            <a:ext uri="{FF2B5EF4-FFF2-40B4-BE49-F238E27FC236}">
              <a16:creationId xmlns:a16="http://schemas.microsoft.com/office/drawing/2014/main" id="{3542ABBA-4A99-FFC3-EE12-0908ACDADFCD}"/>
            </a:ext>
            <a:ext uri="{147F2762-F138-4A5C-976F-8EAC2B608ADB}">
              <a16:predDERef xmlns:a16="http://schemas.microsoft.com/office/drawing/2014/main" pred="{91892E74-D556-D019-1708-1D1720787C2F}"/>
            </a:ext>
          </a:extLst>
        </xdr:cNvPr>
        <xdr:cNvPicPr>
          <a:picLocks noChangeAspect="1"/>
        </xdr:cNvPicPr>
      </xdr:nvPicPr>
      <xdr:blipFill>
        <a:blip xmlns:r="http://schemas.openxmlformats.org/officeDocument/2006/relationships" r:embed="rId6"/>
        <a:stretch>
          <a:fillRect/>
        </a:stretch>
      </xdr:blipFill>
      <xdr:spPr>
        <a:xfrm>
          <a:off x="16630650" y="8048625"/>
          <a:ext cx="4114800" cy="7448550"/>
        </a:xfrm>
        <a:prstGeom prst="rect">
          <a:avLst/>
        </a:prstGeom>
      </xdr:spPr>
    </xdr:pic>
    <xdr:clientData/>
  </xdr:twoCellAnchor>
  <xdr:twoCellAnchor editAs="oneCell">
    <xdr:from>
      <xdr:col>18</xdr:col>
      <xdr:colOff>0</xdr:colOff>
      <xdr:row>37</xdr:row>
      <xdr:rowOff>85725</xdr:rowOff>
    </xdr:from>
    <xdr:to>
      <xdr:col>22</xdr:col>
      <xdr:colOff>581025</xdr:colOff>
      <xdr:row>51</xdr:row>
      <xdr:rowOff>142875</xdr:rowOff>
    </xdr:to>
    <xdr:pic>
      <xdr:nvPicPr>
        <xdr:cNvPr id="9" name="Image 8">
          <a:extLst>
            <a:ext uri="{FF2B5EF4-FFF2-40B4-BE49-F238E27FC236}">
              <a16:creationId xmlns:a16="http://schemas.microsoft.com/office/drawing/2014/main" id="{95DBAB49-BAF6-7177-73E5-580435128556}"/>
            </a:ext>
            <a:ext uri="{147F2762-F138-4A5C-976F-8EAC2B608ADB}">
              <a16:predDERef xmlns:a16="http://schemas.microsoft.com/office/drawing/2014/main" pred="{3542ABBA-4A99-FFC3-EE12-0908ACDADFCD}"/>
            </a:ext>
          </a:extLst>
        </xdr:cNvPr>
        <xdr:cNvPicPr>
          <a:picLocks noChangeAspect="1"/>
        </xdr:cNvPicPr>
      </xdr:nvPicPr>
      <xdr:blipFill>
        <a:blip xmlns:r="http://schemas.openxmlformats.org/officeDocument/2006/relationships" r:embed="rId7"/>
        <a:stretch>
          <a:fillRect/>
        </a:stretch>
      </xdr:blipFill>
      <xdr:spPr>
        <a:xfrm>
          <a:off x="20869275" y="8086725"/>
          <a:ext cx="5438775" cy="28575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542925</xdr:colOff>
      <xdr:row>14</xdr:row>
      <xdr:rowOff>180975</xdr:rowOff>
    </xdr:from>
    <xdr:to>
      <xdr:col>5</xdr:col>
      <xdr:colOff>352425</xdr:colOff>
      <xdr:row>37</xdr:row>
      <xdr:rowOff>152400</xdr:rowOff>
    </xdr:to>
    <xdr:pic>
      <xdr:nvPicPr>
        <xdr:cNvPr id="2" name="Image 1">
          <a:extLst>
            <a:ext uri="{FF2B5EF4-FFF2-40B4-BE49-F238E27FC236}">
              <a16:creationId xmlns:a16="http://schemas.microsoft.com/office/drawing/2014/main" id="{21C96220-7DAA-E79C-6B31-1F3958DCAFD5}"/>
            </a:ext>
          </a:extLst>
        </xdr:cNvPr>
        <xdr:cNvPicPr>
          <a:picLocks noChangeAspect="1"/>
        </xdr:cNvPicPr>
      </xdr:nvPicPr>
      <xdr:blipFill>
        <a:blip xmlns:r="http://schemas.openxmlformats.org/officeDocument/2006/relationships" r:embed="rId1"/>
        <a:stretch>
          <a:fillRect/>
        </a:stretch>
      </xdr:blipFill>
      <xdr:spPr>
        <a:xfrm>
          <a:off x="542925" y="3038475"/>
          <a:ext cx="3695700" cy="4572000"/>
        </a:xfrm>
        <a:prstGeom prst="rect">
          <a:avLst/>
        </a:prstGeom>
      </xdr:spPr>
    </xdr:pic>
    <xdr:clientData/>
  </xdr:twoCellAnchor>
  <xdr:twoCellAnchor editAs="oneCell">
    <xdr:from>
      <xdr:col>6</xdr:col>
      <xdr:colOff>371475</xdr:colOff>
      <xdr:row>15</xdr:row>
      <xdr:rowOff>161925</xdr:rowOff>
    </xdr:from>
    <xdr:to>
      <xdr:col>13</xdr:col>
      <xdr:colOff>142875</xdr:colOff>
      <xdr:row>25</xdr:row>
      <xdr:rowOff>180975</xdr:rowOff>
    </xdr:to>
    <xdr:pic>
      <xdr:nvPicPr>
        <xdr:cNvPr id="3" name="Image 2">
          <a:extLst>
            <a:ext uri="{FF2B5EF4-FFF2-40B4-BE49-F238E27FC236}">
              <a16:creationId xmlns:a16="http://schemas.microsoft.com/office/drawing/2014/main" id="{2E16AAB3-999B-3DCE-875C-07DFB6E14369}"/>
            </a:ext>
            <a:ext uri="{147F2762-F138-4A5C-976F-8EAC2B608ADB}">
              <a16:predDERef xmlns:a16="http://schemas.microsoft.com/office/drawing/2014/main" pred="{21C96220-7DAA-E79C-6B31-1F3958DCAFD5}"/>
            </a:ext>
          </a:extLst>
        </xdr:cNvPr>
        <xdr:cNvPicPr>
          <a:picLocks noChangeAspect="1"/>
        </xdr:cNvPicPr>
      </xdr:nvPicPr>
      <xdr:blipFill>
        <a:blip xmlns:r="http://schemas.openxmlformats.org/officeDocument/2006/relationships" r:embed="rId2"/>
        <a:stretch>
          <a:fillRect/>
        </a:stretch>
      </xdr:blipFill>
      <xdr:spPr>
        <a:xfrm>
          <a:off x="4486275" y="3219450"/>
          <a:ext cx="4572000" cy="20193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657225</xdr:colOff>
      <xdr:row>3</xdr:row>
      <xdr:rowOff>9525</xdr:rowOff>
    </xdr:from>
    <xdr:to>
      <xdr:col>7</xdr:col>
      <xdr:colOff>457200</xdr:colOff>
      <xdr:row>10</xdr:row>
      <xdr:rowOff>57150</xdr:rowOff>
    </xdr:to>
    <xdr:pic>
      <xdr:nvPicPr>
        <xdr:cNvPr id="2" name="Image 1">
          <a:extLst>
            <a:ext uri="{FF2B5EF4-FFF2-40B4-BE49-F238E27FC236}">
              <a16:creationId xmlns:a16="http://schemas.microsoft.com/office/drawing/2014/main" id="{0F8B4B48-1639-DCCE-E191-8E03352AB918}"/>
            </a:ext>
          </a:extLst>
        </xdr:cNvPr>
        <xdr:cNvPicPr>
          <a:picLocks noChangeAspect="1"/>
        </xdr:cNvPicPr>
      </xdr:nvPicPr>
      <xdr:blipFill>
        <a:blip xmlns:r="http://schemas.openxmlformats.org/officeDocument/2006/relationships" r:embed="rId1"/>
        <a:stretch>
          <a:fillRect/>
        </a:stretch>
      </xdr:blipFill>
      <xdr:spPr>
        <a:xfrm>
          <a:off x="657225" y="609600"/>
          <a:ext cx="4572000" cy="1447800"/>
        </a:xfrm>
        <a:prstGeom prst="rect">
          <a:avLst/>
        </a:prstGeom>
      </xdr:spPr>
    </xdr:pic>
    <xdr:clientData/>
  </xdr:twoCellAnchor>
  <xdr:twoCellAnchor editAs="oneCell">
    <xdr:from>
      <xdr:col>0</xdr:col>
      <xdr:colOff>571500</xdr:colOff>
      <xdr:row>12</xdr:row>
      <xdr:rowOff>142875</xdr:rowOff>
    </xdr:from>
    <xdr:to>
      <xdr:col>7</xdr:col>
      <xdr:colOff>457200</xdr:colOff>
      <xdr:row>35</xdr:row>
      <xdr:rowOff>38100</xdr:rowOff>
    </xdr:to>
    <xdr:pic>
      <xdr:nvPicPr>
        <xdr:cNvPr id="3" name="Image 2">
          <a:extLst>
            <a:ext uri="{FF2B5EF4-FFF2-40B4-BE49-F238E27FC236}">
              <a16:creationId xmlns:a16="http://schemas.microsoft.com/office/drawing/2014/main" id="{3555D39C-2684-8D7B-D8A6-52BE8C69A48A}"/>
            </a:ext>
            <a:ext uri="{147F2762-F138-4A5C-976F-8EAC2B608ADB}">
              <a16:predDERef xmlns:a16="http://schemas.microsoft.com/office/drawing/2014/main" pred="{0F8B4B48-1639-DCCE-E191-8E03352AB918}"/>
            </a:ext>
          </a:extLst>
        </xdr:cNvPr>
        <xdr:cNvPicPr>
          <a:picLocks noChangeAspect="1"/>
        </xdr:cNvPicPr>
      </xdr:nvPicPr>
      <xdr:blipFill>
        <a:blip xmlns:r="http://schemas.openxmlformats.org/officeDocument/2006/relationships" r:embed="rId2"/>
        <a:stretch>
          <a:fillRect/>
        </a:stretch>
      </xdr:blipFill>
      <xdr:spPr>
        <a:xfrm>
          <a:off x="571500" y="4057650"/>
          <a:ext cx="4572000" cy="44958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504825</xdr:colOff>
      <xdr:row>31</xdr:row>
      <xdr:rowOff>161925</xdr:rowOff>
    </xdr:from>
    <xdr:to>
      <xdr:col>4</xdr:col>
      <xdr:colOff>1914525</xdr:colOff>
      <xdr:row>36</xdr:row>
      <xdr:rowOff>57150</xdr:rowOff>
    </xdr:to>
    <xdr:pic>
      <xdr:nvPicPr>
        <xdr:cNvPr id="2" name="Image 1">
          <a:extLst>
            <a:ext uri="{FF2B5EF4-FFF2-40B4-BE49-F238E27FC236}">
              <a16:creationId xmlns:a16="http://schemas.microsoft.com/office/drawing/2014/main" id="{2A3DE4C7-C93E-C3C7-27FE-52644D6197AF}"/>
            </a:ext>
          </a:extLst>
        </xdr:cNvPr>
        <xdr:cNvPicPr>
          <a:picLocks noChangeAspect="1"/>
        </xdr:cNvPicPr>
      </xdr:nvPicPr>
      <xdr:blipFill>
        <a:blip xmlns:r="http://schemas.openxmlformats.org/officeDocument/2006/relationships" r:embed="rId1"/>
        <a:stretch>
          <a:fillRect/>
        </a:stretch>
      </xdr:blipFill>
      <xdr:spPr>
        <a:xfrm>
          <a:off x="600075" y="7229475"/>
          <a:ext cx="4572000" cy="895350"/>
        </a:xfrm>
        <a:prstGeom prst="rect">
          <a:avLst/>
        </a:prstGeom>
      </xdr:spPr>
    </xdr:pic>
    <xdr:clientData/>
  </xdr:twoCellAnchor>
  <xdr:twoCellAnchor editAs="oneCell">
    <xdr:from>
      <xdr:col>1</xdr:col>
      <xdr:colOff>495300</xdr:colOff>
      <xdr:row>21</xdr:row>
      <xdr:rowOff>47625</xdr:rowOff>
    </xdr:from>
    <xdr:to>
      <xdr:col>4</xdr:col>
      <xdr:colOff>1905000</xdr:colOff>
      <xdr:row>31</xdr:row>
      <xdr:rowOff>38100</xdr:rowOff>
    </xdr:to>
    <xdr:pic>
      <xdr:nvPicPr>
        <xdr:cNvPr id="3" name="Image 2">
          <a:extLst>
            <a:ext uri="{FF2B5EF4-FFF2-40B4-BE49-F238E27FC236}">
              <a16:creationId xmlns:a16="http://schemas.microsoft.com/office/drawing/2014/main" id="{0165AF50-DB05-B055-7665-C22A3E99917D}"/>
            </a:ext>
            <a:ext uri="{147F2762-F138-4A5C-976F-8EAC2B608ADB}">
              <a16:predDERef xmlns:a16="http://schemas.microsoft.com/office/drawing/2014/main" pred="{2A3DE4C7-C93E-C3C7-27FE-52644D6197AF}"/>
            </a:ext>
          </a:extLst>
        </xdr:cNvPr>
        <xdr:cNvPicPr>
          <a:picLocks noChangeAspect="1"/>
        </xdr:cNvPicPr>
      </xdr:nvPicPr>
      <xdr:blipFill>
        <a:blip xmlns:r="http://schemas.openxmlformats.org/officeDocument/2006/relationships" r:embed="rId2"/>
        <a:stretch>
          <a:fillRect/>
        </a:stretch>
      </xdr:blipFill>
      <xdr:spPr>
        <a:xfrm>
          <a:off x="590550" y="5114925"/>
          <a:ext cx="4572000" cy="1990725"/>
        </a:xfrm>
        <a:prstGeom prst="rect">
          <a:avLst/>
        </a:prstGeom>
      </xdr:spPr>
    </xdr:pic>
    <xdr:clientData/>
  </xdr:twoCellAnchor>
  <xdr:twoCellAnchor editAs="oneCell">
    <xdr:from>
      <xdr:col>1</xdr:col>
      <xdr:colOff>523875</xdr:colOff>
      <xdr:row>37</xdr:row>
      <xdr:rowOff>123825</xdr:rowOff>
    </xdr:from>
    <xdr:to>
      <xdr:col>4</xdr:col>
      <xdr:colOff>1933575</xdr:colOff>
      <xdr:row>48</xdr:row>
      <xdr:rowOff>0</xdr:rowOff>
    </xdr:to>
    <xdr:pic>
      <xdr:nvPicPr>
        <xdr:cNvPr id="4" name="Image 3">
          <a:extLst>
            <a:ext uri="{FF2B5EF4-FFF2-40B4-BE49-F238E27FC236}">
              <a16:creationId xmlns:a16="http://schemas.microsoft.com/office/drawing/2014/main" id="{883970A9-8E72-F368-F1DD-18A93F084414}"/>
            </a:ext>
            <a:ext uri="{147F2762-F138-4A5C-976F-8EAC2B608ADB}">
              <a16:predDERef xmlns:a16="http://schemas.microsoft.com/office/drawing/2014/main" pred="{0165AF50-DB05-B055-7665-C22A3E99917D}"/>
            </a:ext>
          </a:extLst>
        </xdr:cNvPr>
        <xdr:cNvPicPr>
          <a:picLocks noChangeAspect="1"/>
        </xdr:cNvPicPr>
      </xdr:nvPicPr>
      <xdr:blipFill>
        <a:blip xmlns:r="http://schemas.openxmlformats.org/officeDocument/2006/relationships" r:embed="rId3"/>
        <a:stretch>
          <a:fillRect/>
        </a:stretch>
      </xdr:blipFill>
      <xdr:spPr>
        <a:xfrm>
          <a:off x="619125" y="8391525"/>
          <a:ext cx="4572000" cy="2076450"/>
        </a:xfrm>
        <a:prstGeom prst="rect">
          <a:avLst/>
        </a:prstGeom>
      </xdr:spPr>
    </xdr:pic>
    <xdr:clientData/>
  </xdr:twoCellAnchor>
  <xdr:twoCellAnchor editAs="oneCell">
    <xdr:from>
      <xdr:col>1</xdr:col>
      <xdr:colOff>552450</xdr:colOff>
      <xdr:row>48</xdr:row>
      <xdr:rowOff>123825</xdr:rowOff>
    </xdr:from>
    <xdr:to>
      <xdr:col>4</xdr:col>
      <xdr:colOff>1962150</xdr:colOff>
      <xdr:row>56</xdr:row>
      <xdr:rowOff>0</xdr:rowOff>
    </xdr:to>
    <xdr:pic>
      <xdr:nvPicPr>
        <xdr:cNvPr id="5" name="Image 4">
          <a:extLst>
            <a:ext uri="{FF2B5EF4-FFF2-40B4-BE49-F238E27FC236}">
              <a16:creationId xmlns:a16="http://schemas.microsoft.com/office/drawing/2014/main" id="{15479FE4-07A0-0893-CC84-DA795A983F15}"/>
            </a:ext>
            <a:ext uri="{147F2762-F138-4A5C-976F-8EAC2B608ADB}">
              <a16:predDERef xmlns:a16="http://schemas.microsoft.com/office/drawing/2014/main" pred="{883970A9-8E72-F368-F1DD-18A93F084414}"/>
            </a:ext>
          </a:extLst>
        </xdr:cNvPr>
        <xdr:cNvPicPr>
          <a:picLocks noChangeAspect="1"/>
        </xdr:cNvPicPr>
      </xdr:nvPicPr>
      <xdr:blipFill>
        <a:blip xmlns:r="http://schemas.openxmlformats.org/officeDocument/2006/relationships" r:embed="rId4"/>
        <a:stretch>
          <a:fillRect/>
        </a:stretch>
      </xdr:blipFill>
      <xdr:spPr>
        <a:xfrm>
          <a:off x="647700" y="10591800"/>
          <a:ext cx="4572000" cy="1476375"/>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Thibault Delhaye" id="{79B0EC4A-EF0A-40B9-AB1B-DE2A185A3CB6}" userId="S::thibault.delhaye@uclouvain.be::e7dbfdca-054c-4456-90c2-29fe5b7c100b" providerId="AD"/>
</personList>
</file>

<file path=xl/theme/theme1.xml><?xml version="1.0" encoding="utf-8"?>
<a:theme xmlns:a="http://schemas.openxmlformats.org/drawingml/2006/main" name="Thème Office">
  <a:themeElements>
    <a:clrScheme name="Bureau">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Bureau">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Bureau">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E8" dT="2021-11-25T10:45:57.45" personId="{79B0EC4A-EF0A-40B9-AB1B-DE2A185A3CB6}" id="{31F066C3-1A4F-4EED-835A-312B95F2441F}">
    <text>Il y a une erreur sur ces valeurs dans le CSR</text>
  </threadedComment>
</ThreadedComment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https://www.semi.org/en/products-services/market-data/materials/si-shipment-statistics" TargetMode="External"/><Relationship Id="rId1" Type="http://schemas.openxmlformats.org/officeDocument/2006/relationships/hyperlink" Target="https://www.eenewseurope.com/news/top-five-chip-makers-dominate-global-wafer-capacity" TargetMode="External"/></Relationships>
</file>

<file path=xl/worksheets/_rels/sheet12.xml.rels><?xml version="1.0" encoding="UTF-8" standalone="yes"?>
<Relationships xmlns="http://schemas.openxmlformats.org/package/2006/relationships"><Relationship Id="rId3" Type="http://schemas.openxmlformats.org/officeDocument/2006/relationships/printerSettings" Target="../printerSettings/printerSettings11.bin"/><Relationship Id="rId2" Type="http://schemas.openxmlformats.org/officeDocument/2006/relationships/hyperlink" Target="https://en.wikipedia.org/wiki/Apple_silicon" TargetMode="External"/><Relationship Id="rId1" Type="http://schemas.openxmlformats.org/officeDocument/2006/relationships/hyperlink" Target="https://namu.wiki/w/Apple%20Silicon/A%20%EC%8B%9C%EB%A6%AC%EC%A6%88?from=Apple%20A6" TargetMode="External"/><Relationship Id="rId4" Type="http://schemas.openxmlformats.org/officeDocument/2006/relationships/drawing" Target="../drawings/drawing2.xml"/></Relationships>
</file>

<file path=xl/worksheets/_rels/sheet13.xml.rels><?xml version="1.0" encoding="UTF-8" standalone="yes"?>
<Relationships xmlns="http://schemas.openxmlformats.org/package/2006/relationships"><Relationship Id="rId13" Type="http://schemas.openxmlformats.org/officeDocument/2006/relationships/hyperlink" Target="https://doi.org/10.3390/en13225998" TargetMode="External"/><Relationship Id="rId18" Type="http://schemas.openxmlformats.org/officeDocument/2006/relationships/hyperlink" Target="https://doi.org/10.1109/ISEE.2006.1650071" TargetMode="External"/><Relationship Id="rId26" Type="http://schemas.openxmlformats.org/officeDocument/2006/relationships/hyperlink" Target="https://tel.archives-ouvertes.fr/tel-00957329" TargetMode="External"/><Relationship Id="rId39" Type="http://schemas.openxmlformats.org/officeDocument/2006/relationships/hyperlink" Target="https://www.diva-portal.org/smash/record.jsf?pid=diva2%3A933594&amp;dswid=-2635" TargetMode="External"/><Relationship Id="rId21" Type="http://schemas.openxmlformats.org/officeDocument/2006/relationships/hyperlink" Target="https://doi.org/10.1109/TII.2014.2306771" TargetMode="External"/><Relationship Id="rId34" Type="http://schemas.openxmlformats.org/officeDocument/2006/relationships/hyperlink" Target="https://doi.org/10.1016/j.envsoft.2013.12.014" TargetMode="External"/><Relationship Id="rId42" Type="http://schemas.openxmlformats.org/officeDocument/2006/relationships/hyperlink" Target="https://doi.org/10.1109/ISEE.2004.1299693" TargetMode="External"/><Relationship Id="rId47" Type="http://schemas.openxmlformats.org/officeDocument/2006/relationships/hyperlink" Target="https://doi.org/10.1109/ISSST.2010.5507677" TargetMode="External"/><Relationship Id="rId50" Type="http://schemas.openxmlformats.org/officeDocument/2006/relationships/hyperlink" Target="https://doi.org/10.1021/es902388b" TargetMode="External"/><Relationship Id="rId55" Type="http://schemas.openxmlformats.org/officeDocument/2006/relationships/hyperlink" Target="https://doi.org/10.1021/es035152j" TargetMode="External"/><Relationship Id="rId63" Type="http://schemas.openxmlformats.org/officeDocument/2006/relationships/hyperlink" Target="https://dx.doi.org/10.2991/ict4s-16.2016.15" TargetMode="External"/><Relationship Id="rId68" Type="http://schemas.openxmlformats.org/officeDocument/2006/relationships/hyperlink" Target="https://doi.org/10.1021/es025643o" TargetMode="External"/><Relationship Id="rId76" Type="http://schemas.openxmlformats.org/officeDocument/2006/relationships/hyperlink" Target="https://doi.org/10.1109/ISSST.2012.6228013" TargetMode="External"/><Relationship Id="rId84" Type="http://schemas.openxmlformats.org/officeDocument/2006/relationships/hyperlink" Target="https://doi.org/10.1109/TED.2006.884077" TargetMode="External"/><Relationship Id="rId89" Type="http://schemas.openxmlformats.org/officeDocument/2006/relationships/hyperlink" Target="https://doi.org/10.1109/ICCAD.2013.6691120" TargetMode="External"/><Relationship Id="rId7" Type="http://schemas.openxmlformats.org/officeDocument/2006/relationships/hyperlink" Target="https://doi.org/10.1007/s11367-011-0351-1" TargetMode="External"/><Relationship Id="rId71" Type="http://schemas.openxmlformats.org/officeDocument/2006/relationships/hyperlink" Target="https://doi.org/10.1109/ISEE.2004.1299692" TargetMode="External"/><Relationship Id="rId92" Type="http://schemas.openxmlformats.org/officeDocument/2006/relationships/hyperlink" Target="https://doi.org/10.1109/ISEE.2004.1299707" TargetMode="External"/><Relationship Id="rId2" Type="http://schemas.openxmlformats.org/officeDocument/2006/relationships/hyperlink" Target="https://doi.org/10.1111/jiec.13123" TargetMode="External"/><Relationship Id="rId16" Type="http://schemas.openxmlformats.org/officeDocument/2006/relationships/hyperlink" Target="https://doi.org/10.1038/nature10682" TargetMode="External"/><Relationship Id="rId29" Type="http://schemas.openxmlformats.org/officeDocument/2006/relationships/hyperlink" Target="https://doi.org/10.3390/su11205664" TargetMode="External"/><Relationship Id="rId11" Type="http://schemas.openxmlformats.org/officeDocument/2006/relationships/hyperlink" Target="https://doi.org/10.1016/j.jclepro.2009.10.004" TargetMode="External"/><Relationship Id="rId24" Type="http://schemas.openxmlformats.org/officeDocument/2006/relationships/hyperlink" Target="https://doi.org/10.1021/es303012r" TargetMode="External"/><Relationship Id="rId32" Type="http://schemas.openxmlformats.org/officeDocument/2006/relationships/hyperlink" Target="https://doi.org/10.23919/PanPacific48324.2020.9059483" TargetMode="External"/><Relationship Id="rId37" Type="http://schemas.openxmlformats.org/officeDocument/2006/relationships/hyperlink" Target="https://doi.org/10.1016/j.compind.2013.10.003" TargetMode="External"/><Relationship Id="rId40" Type="http://schemas.openxmlformats.org/officeDocument/2006/relationships/hyperlink" Target="https://doi.org/10.1007/978-3-319-09228-7_10" TargetMode="External"/><Relationship Id="rId45" Type="http://schemas.openxmlformats.org/officeDocument/2006/relationships/hyperlink" Target="https://doi.org/10.1109/ISEE.2008.4562888" TargetMode="External"/><Relationship Id="rId53" Type="http://schemas.openxmlformats.org/officeDocument/2006/relationships/hyperlink" Target="https://doi.org/10.1109/ISEE.2008.4562886" TargetMode="External"/><Relationship Id="rId58" Type="http://schemas.openxmlformats.org/officeDocument/2006/relationships/hyperlink" Target="https://op.europa.eu/s/vUnz" TargetMode="External"/><Relationship Id="rId66" Type="http://schemas.openxmlformats.org/officeDocument/2006/relationships/hyperlink" Target="https://citeseerx.ist.psu.edu/viewdoc/download?doi=10.1.1.118.6922&amp;rep=rep1&amp;type=pdf" TargetMode="External"/><Relationship Id="rId74" Type="http://schemas.openxmlformats.org/officeDocument/2006/relationships/hyperlink" Target="https://doi.org/10.1016/j.eiar.2020.106416" TargetMode="External"/><Relationship Id="rId79" Type="http://schemas.openxmlformats.org/officeDocument/2006/relationships/hyperlink" Target="http://hdl.handle.net/2429/47025" TargetMode="External"/><Relationship Id="rId87" Type="http://schemas.openxmlformats.org/officeDocument/2006/relationships/hyperlink" Target="https://doi.org/10.1109/ISSST.2009.5156786" TargetMode="External"/><Relationship Id="rId5" Type="http://schemas.openxmlformats.org/officeDocument/2006/relationships/hyperlink" Target="https://doi.org/10.1007/s11367-011-0260-3" TargetMode="External"/><Relationship Id="rId61" Type="http://schemas.openxmlformats.org/officeDocument/2006/relationships/hyperlink" Target="https://www.fairphone.com/wp-content/uploads/2020/07/Fairphone_3_LCA.pdf" TargetMode="External"/><Relationship Id="rId82" Type="http://schemas.openxmlformats.org/officeDocument/2006/relationships/hyperlink" Target="https://doi.org/10.1109/TSM.2004.835705" TargetMode="External"/><Relationship Id="rId90" Type="http://schemas.openxmlformats.org/officeDocument/2006/relationships/hyperlink" Target="https://doi.org/10.1146/annurev-environ-010710-100408" TargetMode="External"/><Relationship Id="rId95" Type="http://schemas.openxmlformats.org/officeDocument/2006/relationships/hyperlink" Target="https://doi.org/10.1109/ISSST.2010.5507691" TargetMode="External"/><Relationship Id="rId19" Type="http://schemas.openxmlformats.org/officeDocument/2006/relationships/hyperlink" Target="https://doi.org/10.1109/TSM.2010.2087395" TargetMode="External"/><Relationship Id="rId14" Type="http://schemas.openxmlformats.org/officeDocument/2006/relationships/hyperlink" Target="https://doi.org/10.1109/ISSST.2010.5507719" TargetMode="External"/><Relationship Id="rId22" Type="http://schemas.openxmlformats.org/officeDocument/2006/relationships/hyperlink" Target="https://doi.org/10.1109/ISSCC.2012.6177104" TargetMode="External"/><Relationship Id="rId27" Type="http://schemas.openxmlformats.org/officeDocument/2006/relationships/hyperlink" Target="https://doi.org/10.1016/j.jclepro.2018.07.273" TargetMode="External"/><Relationship Id="rId30" Type="http://schemas.openxmlformats.org/officeDocument/2006/relationships/hyperlink" Target="https://doi.org/10.1007/s11367-010-0206-1" TargetMode="External"/><Relationship Id="rId35" Type="http://schemas.openxmlformats.org/officeDocument/2006/relationships/hyperlink" Target="https://doi.org/10.1016/j.envsoft.2014.01.001" TargetMode="External"/><Relationship Id="rId43" Type="http://schemas.openxmlformats.org/officeDocument/2006/relationships/hyperlink" Target="https://doi.org/10.1109/ISEE.2008.4562913" TargetMode="External"/><Relationship Id="rId48" Type="http://schemas.openxmlformats.org/officeDocument/2006/relationships/hyperlink" Target="https://doi.org/10.1109/IGCC.2017.8323572" TargetMode="External"/><Relationship Id="rId56" Type="http://schemas.openxmlformats.org/officeDocument/2006/relationships/hyperlink" Target="https://doi.org/10.1109/ISEE.2008.4562888" TargetMode="External"/><Relationship Id="rId64" Type="http://schemas.openxmlformats.org/officeDocument/2006/relationships/hyperlink" Target="https://doi.org/10.1109/FTFC.2013.6577767" TargetMode="External"/><Relationship Id="rId69" Type="http://schemas.openxmlformats.org/officeDocument/2006/relationships/hyperlink" Target="https://doi.org/10.1016/S0360-5442(03)00008-2" TargetMode="External"/><Relationship Id="rId77" Type="http://schemas.openxmlformats.org/officeDocument/2006/relationships/hyperlink" Target="http://www.lcacenter.org/InLCA2004/papers/Schischke_K_paper.pdf" TargetMode="External"/><Relationship Id="rId8" Type="http://schemas.openxmlformats.org/officeDocument/2006/relationships/hyperlink" Target="https://doi.org/10.3390/nano11051085" TargetMode="External"/><Relationship Id="rId51" Type="http://schemas.openxmlformats.org/officeDocument/2006/relationships/hyperlink" Target="http://hdl.handle.net/1721.1/46056" TargetMode="External"/><Relationship Id="rId72" Type="http://schemas.openxmlformats.org/officeDocument/2006/relationships/hyperlink" Target="https://doi.org/10.1109/MCE.2015.2484639" TargetMode="External"/><Relationship Id="rId80" Type="http://schemas.openxmlformats.org/officeDocument/2006/relationships/hyperlink" Target="https://doi.org/10.1002/ep.670220414" TargetMode="External"/><Relationship Id="rId85" Type="http://schemas.openxmlformats.org/officeDocument/2006/relationships/hyperlink" Target="https://doi.org/10.1109/66.53188" TargetMode="External"/><Relationship Id="rId93" Type="http://schemas.openxmlformats.org/officeDocument/2006/relationships/hyperlink" Target="https://www.diva-portal.org/smash/get/diva2:1540115/FULLTEXT01.pdf" TargetMode="External"/><Relationship Id="rId3" Type="http://schemas.openxmlformats.org/officeDocument/2006/relationships/hyperlink" Target="https://doi.org/10.1016/j.jclepro.2014.08.061" TargetMode="External"/><Relationship Id="rId12" Type="http://schemas.openxmlformats.org/officeDocument/2006/relationships/hyperlink" Target="https://doi.org/10.1021/es305325y" TargetMode="External"/><Relationship Id="rId17" Type="http://schemas.openxmlformats.org/officeDocument/2006/relationships/hyperlink" Target="https://doi.org/10.1021/es903297k" TargetMode="External"/><Relationship Id="rId25" Type="http://schemas.openxmlformats.org/officeDocument/2006/relationships/hyperlink" Target="https://doi.org/10.1111/jiec.13119" TargetMode="External"/><Relationship Id="rId33" Type="http://schemas.openxmlformats.org/officeDocument/2006/relationships/hyperlink" Target="https://doi.org/10.1016/j.segan.2020.100408" TargetMode="External"/><Relationship Id="rId38" Type="http://schemas.openxmlformats.org/officeDocument/2006/relationships/hyperlink" Target="https://doi.org/10.1016/j.jenvman.2009.06.018" TargetMode="External"/><Relationship Id="rId46" Type="http://schemas.openxmlformats.org/officeDocument/2006/relationships/hyperlink" Target="https://doi.org/10.1021/es505121p" TargetMode="External"/><Relationship Id="rId59" Type="http://schemas.openxmlformats.org/officeDocument/2006/relationships/hyperlink" Target="https://www.mpedram.com/Papers/lifecycle-inventory-analysis-finfet-issst14.pdf" TargetMode="External"/><Relationship Id="rId67" Type="http://schemas.openxmlformats.org/officeDocument/2006/relationships/hyperlink" Target="https://doi.org/10.1016/j.jclepro.2011.03.004" TargetMode="External"/><Relationship Id="rId20" Type="http://schemas.openxmlformats.org/officeDocument/2006/relationships/hyperlink" Target="https://pubs.acs.org/doi/10.1021/es901514n" TargetMode="External"/><Relationship Id="rId41" Type="http://schemas.openxmlformats.org/officeDocument/2006/relationships/hyperlink" Target="https://doi.org/10.1111/jiec.12227" TargetMode="External"/><Relationship Id="rId54" Type="http://schemas.openxmlformats.org/officeDocument/2006/relationships/hyperlink" Target="https://doi.org/10.1109/ICIEA.2013.6566380" TargetMode="External"/><Relationship Id="rId62" Type="http://schemas.openxmlformats.org/officeDocument/2006/relationships/hyperlink" Target="https://doi.org/10.3390/challe5020409" TargetMode="External"/><Relationship Id="rId70" Type="http://schemas.openxmlformats.org/officeDocument/2006/relationships/hyperlink" Target="https://doi.org/10.1007/978-94-010-0033-8_3" TargetMode="External"/><Relationship Id="rId75" Type="http://schemas.openxmlformats.org/officeDocument/2006/relationships/hyperlink" Target="https://www.greenpeace.de/sites/default/files/publications/20161109_oeko_resource_efficency_final_full-report.pdf" TargetMode="External"/><Relationship Id="rId83" Type="http://schemas.openxmlformats.org/officeDocument/2006/relationships/hyperlink" Target="https://docplayer.net/8741483-Computing-the-carbon-footprint-supply-chain-for-the-semiconductor-industry-a-learning-tool.html" TargetMode="External"/><Relationship Id="rId88" Type="http://schemas.openxmlformats.org/officeDocument/2006/relationships/hyperlink" Target="https://doi.org/10.1007/978-1-4419-9988-7" TargetMode="External"/><Relationship Id="rId91" Type="http://schemas.openxmlformats.org/officeDocument/2006/relationships/hyperlink" Target="https://doi.org/10.1007/978-1-4419-9988-7_7" TargetMode="External"/><Relationship Id="rId96" Type="http://schemas.openxmlformats.org/officeDocument/2006/relationships/printerSettings" Target="../printerSettings/printerSettings12.bin"/><Relationship Id="rId1" Type="http://schemas.openxmlformats.org/officeDocument/2006/relationships/hyperlink" Target="https://doi.org/10.1109/IEDM13553.2020.9372004" TargetMode="External"/><Relationship Id="rId6" Type="http://schemas.openxmlformats.org/officeDocument/2006/relationships/hyperlink" Target="https://doi.org/10.3390/challe8020021" TargetMode="External"/><Relationship Id="rId15" Type="http://schemas.openxmlformats.org/officeDocument/2006/relationships/hyperlink" Target="https://doi.org/10.1109/ISSST.2011.5936883" TargetMode="External"/><Relationship Id="rId23" Type="http://schemas.openxmlformats.org/officeDocument/2006/relationships/hyperlink" Target="https://doi.org/10.1088/1748-9326/5/1/014011" TargetMode="External"/><Relationship Id="rId28" Type="http://schemas.openxmlformats.org/officeDocument/2006/relationships/hyperlink" Target="https://doi.org/10.1109/HPCA51647.2021.00076" TargetMode="External"/><Relationship Id="rId36" Type="http://schemas.openxmlformats.org/officeDocument/2006/relationships/hyperlink" Target="https://arxiv.org/abs/1403.2798" TargetMode="External"/><Relationship Id="rId49" Type="http://schemas.openxmlformats.org/officeDocument/2006/relationships/hyperlink" Target="https://doi.org/10.1109/IGCC.2016.7892605" TargetMode="External"/><Relationship Id="rId57" Type="http://schemas.openxmlformats.org/officeDocument/2006/relationships/hyperlink" Target="https://link.springer.com/book/10.1007/978-94-010-0033-8" TargetMode="External"/><Relationship Id="rId10" Type="http://schemas.openxmlformats.org/officeDocument/2006/relationships/hyperlink" Target="https://doi.org/10.1007/s13762-015-0869-z" TargetMode="External"/><Relationship Id="rId31" Type="http://schemas.openxmlformats.org/officeDocument/2006/relationships/hyperlink" Target="https://doi.org/10.1021/es034434g" TargetMode="External"/><Relationship Id="rId44" Type="http://schemas.openxmlformats.org/officeDocument/2006/relationships/hyperlink" Target="https://doi.org/10.1021/es071174k" TargetMode="External"/><Relationship Id="rId52" Type="http://schemas.openxmlformats.org/officeDocument/2006/relationships/hyperlink" Target="https://doi.org/10.1007/BF02978535" TargetMode="External"/><Relationship Id="rId60" Type="http://schemas.openxmlformats.org/officeDocument/2006/relationships/hyperlink" Target="https://www.fairphone.com/wp-content/uploads/2016/11/Fairphone_2_LCA_Final_20161122.pdf" TargetMode="External"/><Relationship Id="rId65" Type="http://schemas.openxmlformats.org/officeDocument/2006/relationships/hyperlink" Target="https://www.umweltbundesamt.de/sites/default/files/medien/378/publikationen/texte_82_2013_janssen_informationstechnik_teil_c.pdf" TargetMode="External"/><Relationship Id="rId73" Type="http://schemas.openxmlformats.org/officeDocument/2006/relationships/hyperlink" Target="https://doi.org/10.1016/j.tsf.2004.02.049" TargetMode="External"/><Relationship Id="rId78" Type="http://schemas.openxmlformats.org/officeDocument/2006/relationships/hyperlink" Target="https://doi.org/10.1109/ISEE.2001.924517" TargetMode="External"/><Relationship Id="rId81" Type="http://schemas.openxmlformats.org/officeDocument/2006/relationships/hyperlink" Target="https://doi.org/10.1109/HPD.2004.1346690" TargetMode="External"/><Relationship Id="rId86" Type="http://schemas.openxmlformats.org/officeDocument/2006/relationships/hyperlink" Target="https://doi.ieeecomputersociety.org/10.1109/MC.2009.209" TargetMode="External"/><Relationship Id="rId94" Type="http://schemas.openxmlformats.org/officeDocument/2006/relationships/hyperlink" Target="https://doi.org/10.1109/ISEE.2003.1208089" TargetMode="External"/><Relationship Id="rId4" Type="http://schemas.openxmlformats.org/officeDocument/2006/relationships/hyperlink" Target="https://doi.org/10.1111/j.1530-9290.2011.00431.x" TargetMode="External"/><Relationship Id="rId9" Type="http://schemas.openxmlformats.org/officeDocument/2006/relationships/hyperlink" Target="https://doi.org/10.1016/j.jclepro.2020.124301" TargetMode="External"/></Relationships>
</file>

<file path=xl/worksheets/_rels/sheet14.xml.rels><?xml version="1.0" encoding="UTF-8" standalone="yes"?>
<Relationships xmlns="http://schemas.openxmlformats.org/package/2006/relationships"><Relationship Id="rId3" Type="http://schemas.openxmlformats.org/officeDocument/2006/relationships/hyperlink" Target="https://doi.org/10.3390/challe8020021" TargetMode="External"/><Relationship Id="rId2" Type="http://schemas.openxmlformats.org/officeDocument/2006/relationships/hyperlink" Target="https://doi.org/10.3390/challe5020409" TargetMode="External"/><Relationship Id="rId1" Type="http://schemas.openxmlformats.org/officeDocument/2006/relationships/hyperlink" Target="https://doi.org/10.1109/MCE.2015.2484639" TargetMode="External"/><Relationship Id="rId6" Type="http://schemas.openxmlformats.org/officeDocument/2006/relationships/drawing" Target="../drawings/drawing3.xml"/><Relationship Id="rId5" Type="http://schemas.openxmlformats.org/officeDocument/2006/relationships/printerSettings" Target="../printerSettings/printerSettings13.bin"/><Relationship Id="rId4" Type="http://schemas.openxmlformats.org/officeDocument/2006/relationships/hyperlink" Target="https://doi.org/10.23919/PanPacific48324.2020.9059483" TargetMode="Externa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14.bin"/><Relationship Id="rId1" Type="http://schemas.openxmlformats.org/officeDocument/2006/relationships/hyperlink" Target="https://doi.org/10.1109/IEDM13553.2020.9372004" TargetMode="External"/></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15.bin"/><Relationship Id="rId2" Type="http://schemas.openxmlformats.org/officeDocument/2006/relationships/hyperlink" Target="https://doi.org/10.1021/es902388b" TargetMode="External"/><Relationship Id="rId1" Type="http://schemas.openxmlformats.org/officeDocument/2006/relationships/hyperlink" Target="http://hdl.handle.net/1721.1/46056" TargetMode="External"/><Relationship Id="rId4" Type="http://schemas.openxmlformats.org/officeDocument/2006/relationships/drawing" Target="../drawings/drawing5.xml"/></Relationships>
</file>

<file path=xl/worksheets/_rels/sheet17.xml.rels><?xml version="1.0" encoding="UTF-8" standalone="yes"?>
<Relationships xmlns="http://schemas.openxmlformats.org/package/2006/relationships"><Relationship Id="rId3" Type="http://schemas.openxmlformats.org/officeDocument/2006/relationships/hyperlink" Target="https://doi.org/10.1109/ISSST.2011.5936883" TargetMode="External"/><Relationship Id="rId2" Type="http://schemas.openxmlformats.org/officeDocument/2006/relationships/hyperlink" Target="https://doi.org/10.1109/FTFC.2013.6577767" TargetMode="External"/><Relationship Id="rId1" Type="http://schemas.openxmlformats.org/officeDocument/2006/relationships/hyperlink" Target="https://doi.org/10.1109/FTFC.2013.6577767" TargetMode="External"/><Relationship Id="rId5" Type="http://schemas.openxmlformats.org/officeDocument/2006/relationships/drawing" Target="../drawings/drawing6.xml"/><Relationship Id="rId4"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printerSettings" Target="../printerSettings/printerSettings17.bin"/><Relationship Id="rId1" Type="http://schemas.openxmlformats.org/officeDocument/2006/relationships/hyperlink" Target="https://link.springer.com/book/10.1007/978-1-4419-9988-7" TargetMode="External"/></Relationships>
</file>

<file path=xl/worksheets/_rels/sheet19.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8.bin"/><Relationship Id="rId1" Type="http://schemas.openxmlformats.org/officeDocument/2006/relationships/hyperlink" Target="https://doi.org/10.1016/j.eiar.2020.106416" TargetMode="External"/></Relationships>
</file>

<file path=xl/worksheets/_rels/sheet2.xml.rels><?xml version="1.0" encoding="UTF-8" standalone="yes"?>
<Relationships xmlns="http://schemas.openxmlformats.org/package/2006/relationships"><Relationship Id="rId26" Type="http://schemas.openxmlformats.org/officeDocument/2006/relationships/hyperlink" Target="https://csr.tsmc.com/download/csr/2018_tsmc_csr/english/pdf/e_all.pdf" TargetMode="External"/><Relationship Id="rId117" Type="http://schemas.openxmlformats.org/officeDocument/2006/relationships/hyperlink" Target="https://download.atlantis-press.com/article/25860375.pdf" TargetMode="External"/><Relationship Id="rId21" Type="http://schemas.openxmlformats.org/officeDocument/2006/relationships/hyperlink" Target="https://www.umc.com/upload/media/07_Sustainability/72_Reports_and_Results/1_Corporate_Sustainability_Reports/CSR_Reports/CS_Report_English_pdf/2014_CSR_report_eng_all.pdf" TargetMode="External"/><Relationship Id="rId42" Type="http://schemas.openxmlformats.org/officeDocument/2006/relationships/hyperlink" Target="https://www.st.com/content/ccc/resource/corporate/financial/quarterly_report/a4/bb/ea/fb/e6/8a/46/0f/cr11.pdf/files/cr11.pdf/_jcr_content/translations/en.cr11.pdf" TargetMode="External"/><Relationship Id="rId47" Type="http://schemas.openxmlformats.org/officeDocument/2006/relationships/hyperlink" Target="http://link.springer.com/10.1007/s11367-011-0351-1" TargetMode="External"/><Relationship Id="rId63" Type="http://schemas.openxmlformats.org/officeDocument/2006/relationships/hyperlink" Target="http://link.springer.com/10.1007/s11367-011-0351-1" TargetMode="External"/><Relationship Id="rId68" Type="http://schemas.openxmlformats.org/officeDocument/2006/relationships/hyperlink" Target="https://gf.com/sites/default/files/gf_crr18_1219a.pdf" TargetMode="External"/><Relationship Id="rId84" Type="http://schemas.openxmlformats.org/officeDocument/2006/relationships/hyperlink" Target="https://www.smics.com/uploads/2011-2012_SMIC_CSR_Report.pdf" TargetMode="External"/><Relationship Id="rId89" Type="http://schemas.openxmlformats.org/officeDocument/2006/relationships/hyperlink" Target="https://citeseerx.ist.psu.edu/viewdoc/download?doi=10.1.1.118.6922&amp;rep=rep1&amp;type=pdf" TargetMode="External"/><Relationship Id="rId112" Type="http://schemas.openxmlformats.org/officeDocument/2006/relationships/hyperlink" Target="https://citeseerx.ist.psu.edu/viewdoc/download?doi=10.1.1.118.6922&amp;rep=rep1&amp;type=pdf" TargetMode="External"/><Relationship Id="rId133" Type="http://schemas.openxmlformats.org/officeDocument/2006/relationships/hyperlink" Target="http://ieeexplore.ieee.org/document/6691120/" TargetMode="External"/><Relationship Id="rId138" Type="http://schemas.openxmlformats.org/officeDocument/2006/relationships/hyperlink" Target="https://doi.org/10.1109/ISEE.2008.4562888" TargetMode="External"/><Relationship Id="rId154" Type="http://schemas.openxmlformats.org/officeDocument/2006/relationships/hyperlink" Target="https://doi.org/10.1109/ISEE.2008.4562888" TargetMode="External"/><Relationship Id="rId159" Type="http://schemas.openxmlformats.org/officeDocument/2006/relationships/hyperlink" Target="https://doi.org/10.1016/S0360-5442(03)00008-2" TargetMode="External"/><Relationship Id="rId175" Type="http://schemas.openxmlformats.org/officeDocument/2006/relationships/hyperlink" Target="https://doi.org/10.1021/es034434g" TargetMode="External"/><Relationship Id="rId170" Type="http://schemas.openxmlformats.org/officeDocument/2006/relationships/hyperlink" Target="http://hdl.handle.net/1721.1/46056" TargetMode="External"/><Relationship Id="rId16" Type="http://schemas.openxmlformats.org/officeDocument/2006/relationships/hyperlink" Target="https://gabi.sphera.com/international/databases/gabi-databases/electronics/" TargetMode="External"/><Relationship Id="rId107" Type="http://schemas.openxmlformats.org/officeDocument/2006/relationships/hyperlink" Target="https://citeseerx.ist.psu.edu/viewdoc/download?doi=10.1.1.118.6922&amp;rep=rep1&amp;type=pdf" TargetMode="External"/><Relationship Id="rId11" Type="http://schemas.openxmlformats.org/officeDocument/2006/relationships/hyperlink" Target="https://gabi.sphera.com/international/databases/gabi-databases/electronics/" TargetMode="External"/><Relationship Id="rId32" Type="http://schemas.openxmlformats.org/officeDocument/2006/relationships/hyperlink" Target="https://csr.tsmc.com/download/csr/2012_tsmc_csr/tsmc-e.html" TargetMode="External"/><Relationship Id="rId37" Type="http://schemas.openxmlformats.org/officeDocument/2006/relationships/hyperlink" Target="https://www.st.com/content/ccc/resource/corporate/financial/quarterly_report/group0/8b/57/65/59/08/d7/48/fc/ST_Sustainability_Report_2017/files/ST_Sustainability_Report_2017.pdf/_jcr_content/translations/en.ST_Sustainability_Report_2017.pdf" TargetMode="External"/><Relationship Id="rId53" Type="http://schemas.openxmlformats.org/officeDocument/2006/relationships/hyperlink" Target="https://ieeexplore.ieee.org/document/9372004/" TargetMode="External"/><Relationship Id="rId58" Type="http://schemas.openxmlformats.org/officeDocument/2006/relationships/hyperlink" Target="https://ieeexplore.ieee.org/document/9372004/" TargetMode="External"/><Relationship Id="rId74" Type="http://schemas.openxmlformats.org/officeDocument/2006/relationships/hyperlink" Target="https://gf.com/sites/default/files/2012-corporate-responsibility-report.pdf" TargetMode="External"/><Relationship Id="rId79" Type="http://schemas.openxmlformats.org/officeDocument/2006/relationships/hyperlink" Target="https://www.smics.com/uploads/2017%20SMIC%20CSR%20Report%20_EN.pdf" TargetMode="External"/><Relationship Id="rId102" Type="http://schemas.openxmlformats.org/officeDocument/2006/relationships/hyperlink" Target="https://citeseerx.ist.psu.edu/viewdoc/download?doi=10.1.1.118.6922&amp;rep=rep1&amp;type=pdf" TargetMode="External"/><Relationship Id="rId123" Type="http://schemas.openxmlformats.org/officeDocument/2006/relationships/hyperlink" Target="https://doi.org/10.14288/1.0167496" TargetMode="External"/><Relationship Id="rId128" Type="http://schemas.openxmlformats.org/officeDocument/2006/relationships/hyperlink" Target="https://doi.org/10.1109/IGCC.2017.8323572" TargetMode="External"/><Relationship Id="rId144" Type="http://schemas.openxmlformats.org/officeDocument/2006/relationships/hyperlink" Target="https://doi.org/10.1109/ISEE.2008.4562888" TargetMode="External"/><Relationship Id="rId149" Type="http://schemas.openxmlformats.org/officeDocument/2006/relationships/hyperlink" Target="https://doi.org/10.1109/ISEE.2008.4562888" TargetMode="External"/><Relationship Id="rId5" Type="http://schemas.openxmlformats.org/officeDocument/2006/relationships/hyperlink" Target="https://www.umc.com/upload/media/07_Sustainability/72_Reports_and_Results/1_Corporate_Sustainability_Reports/CSR_Reports/CS_Report_English_pdf/2016_CSR_report_eng_all.pdf" TargetMode="External"/><Relationship Id="rId90" Type="http://schemas.openxmlformats.org/officeDocument/2006/relationships/hyperlink" Target="https://citeseerx.ist.psu.edu/viewdoc/download?doi=10.1.1.118.6922&amp;rep=rep1&amp;type=pdf" TargetMode="External"/><Relationship Id="rId95" Type="http://schemas.openxmlformats.org/officeDocument/2006/relationships/hyperlink" Target="https://citeseerx.ist.psu.edu/viewdoc/download?doi=10.1.1.118.6922&amp;rep=rep1&amp;type=pdf" TargetMode="External"/><Relationship Id="rId160" Type="http://schemas.openxmlformats.org/officeDocument/2006/relationships/hyperlink" Target="https://doi.org/10.1016/S0360-5442(03)00008-2" TargetMode="External"/><Relationship Id="rId165" Type="http://schemas.openxmlformats.org/officeDocument/2006/relationships/hyperlink" Target="https://doi.org/10.1016/S0360-5442(03)00008-2" TargetMode="External"/><Relationship Id="rId181" Type="http://schemas.openxmlformats.org/officeDocument/2006/relationships/hyperlink" Target="https://doi.org/10.1021/es903297k" TargetMode="External"/><Relationship Id="rId186" Type="http://schemas.openxmlformats.org/officeDocument/2006/relationships/hyperlink" Target="https://gabi.sphera.com/international/databases/gabi-databases/electronics/" TargetMode="External"/><Relationship Id="rId22" Type="http://schemas.openxmlformats.org/officeDocument/2006/relationships/hyperlink" Target="https://www.umc.com/upload/media/07_Sustainability/72_Reports_and_Results/1_Corporate_Sustainability_Reports/CSR_Reports/CS_Report_English_pdf/2014_CSR_report_eng_all.pdf" TargetMode="External"/><Relationship Id="rId27" Type="http://schemas.openxmlformats.org/officeDocument/2006/relationships/hyperlink" Target="https://csr.tsmc.com/download/csr/2015_tsmc_csr/english/index.html" TargetMode="External"/><Relationship Id="rId43" Type="http://schemas.openxmlformats.org/officeDocument/2006/relationships/hyperlink" Target="https://www.fairphone.com/wp-content/uploads/2016/11/Fairphone_2_LCA_Final_20161122.pdf" TargetMode="External"/><Relationship Id="rId48" Type="http://schemas.openxmlformats.org/officeDocument/2006/relationships/hyperlink" Target="https://doi.org/10.1109/FTFC.2013.6577767" TargetMode="External"/><Relationship Id="rId64" Type="http://schemas.openxmlformats.org/officeDocument/2006/relationships/hyperlink" Target="http://www.atlantis-press.com/php/paper-details.php?id=25860375" TargetMode="External"/><Relationship Id="rId69" Type="http://schemas.openxmlformats.org/officeDocument/2006/relationships/hyperlink" Target="https://gf.com/sites/default/files/globalfoundries-2017-csr-report-final.pdf" TargetMode="External"/><Relationship Id="rId113" Type="http://schemas.openxmlformats.org/officeDocument/2006/relationships/hyperlink" Target="https://eps.ieee.org/images/files/Roadmap/ITRSESH2015.pdf" TargetMode="External"/><Relationship Id="rId118" Type="http://schemas.openxmlformats.org/officeDocument/2006/relationships/hyperlink" Target="https://download.atlantis-press.com/article/25860375.pdf" TargetMode="External"/><Relationship Id="rId134" Type="http://schemas.openxmlformats.org/officeDocument/2006/relationships/hyperlink" Target="http://ieeexplore.ieee.org/document/6691120/" TargetMode="External"/><Relationship Id="rId139" Type="http://schemas.openxmlformats.org/officeDocument/2006/relationships/hyperlink" Target="https://doi.org/10.1109/ISEE.2008.4562888" TargetMode="External"/><Relationship Id="rId80" Type="http://schemas.openxmlformats.org/officeDocument/2006/relationships/hyperlink" Target="https://www.smics.com/uploads/2016_SMIC_CSR_Report.pdf" TargetMode="External"/><Relationship Id="rId85" Type="http://schemas.openxmlformats.org/officeDocument/2006/relationships/hyperlink" Target="https://www.smics.com/uploads/2011-2012_SMIC_CSR_Report.pdf" TargetMode="External"/><Relationship Id="rId150" Type="http://schemas.openxmlformats.org/officeDocument/2006/relationships/hyperlink" Target="https://doi.org/10.1109/ISEE.2008.4562888" TargetMode="External"/><Relationship Id="rId155" Type="http://schemas.openxmlformats.org/officeDocument/2006/relationships/hyperlink" Target="https://doi.org/10.1109/ISEE.2008.4562888" TargetMode="External"/><Relationship Id="rId171" Type="http://schemas.openxmlformats.org/officeDocument/2006/relationships/hyperlink" Target="http://hdl.handle.net/1721.1/46056" TargetMode="External"/><Relationship Id="rId176" Type="http://schemas.openxmlformats.org/officeDocument/2006/relationships/hyperlink" Target="https://doi.org/10.1021/es034434g" TargetMode="External"/><Relationship Id="rId12" Type="http://schemas.openxmlformats.org/officeDocument/2006/relationships/hyperlink" Target="https://gabi.sphera.com/international/databases/gabi-databases/electronics/" TargetMode="External"/><Relationship Id="rId17" Type="http://schemas.openxmlformats.org/officeDocument/2006/relationships/hyperlink" Target="https://eps.ieee.org/images/files/Roadmap/ITRSESH2015.pdf" TargetMode="External"/><Relationship Id="rId33" Type="http://schemas.openxmlformats.org/officeDocument/2006/relationships/hyperlink" Target="https://csr.tsmc.com/download/csr/2011_tsmc_csr_e/tsmc-e.html" TargetMode="External"/><Relationship Id="rId38" Type="http://schemas.openxmlformats.org/officeDocument/2006/relationships/hyperlink" Target="https://www.st.com/content/ccc/resource/corporate/financial/quarterly_report/group0/8b/a2/52/e4/63/84/47/27/Sustainability%20Report%202015/files/cr15.pdf/_jcr_content/translations/en.cr15.pdf" TargetMode="External"/><Relationship Id="rId59" Type="http://schemas.openxmlformats.org/officeDocument/2006/relationships/hyperlink" Target="http://www.atlantis-press.com/php/paper-details.php?id=25860375" TargetMode="External"/><Relationship Id="rId103" Type="http://schemas.openxmlformats.org/officeDocument/2006/relationships/hyperlink" Target="https://citeseerx.ist.psu.edu/viewdoc/download?doi=10.1.1.118.6922&amp;rep=rep1&amp;type=pdf" TargetMode="External"/><Relationship Id="rId108" Type="http://schemas.openxmlformats.org/officeDocument/2006/relationships/hyperlink" Target="https://citeseerx.ist.psu.edu/viewdoc/download?doi=10.1.1.118.6922&amp;rep=rep1&amp;type=pdf" TargetMode="External"/><Relationship Id="rId124" Type="http://schemas.openxmlformats.org/officeDocument/2006/relationships/hyperlink" Target="https://doi.org/10.14288/1.0167496" TargetMode="External"/><Relationship Id="rId129" Type="http://schemas.openxmlformats.org/officeDocument/2006/relationships/hyperlink" Target="http://ieeexplore.ieee.org/document/6691120/" TargetMode="External"/><Relationship Id="rId54" Type="http://schemas.openxmlformats.org/officeDocument/2006/relationships/hyperlink" Target="https://ieeexplore.ieee.org/document/9372004/" TargetMode="External"/><Relationship Id="rId70" Type="http://schemas.openxmlformats.org/officeDocument/2006/relationships/hyperlink" Target="https://gf.com/sites/default/files/gf-2016-csr-report-12-21-16.pdf" TargetMode="External"/><Relationship Id="rId75" Type="http://schemas.openxmlformats.org/officeDocument/2006/relationships/hyperlink" Target="https://gf.com/sites/default/files/2012-corporate-responsibility-report.pdf" TargetMode="External"/><Relationship Id="rId91" Type="http://schemas.openxmlformats.org/officeDocument/2006/relationships/hyperlink" Target="https://citeseerx.ist.psu.edu/viewdoc/download?doi=10.1.1.118.6922&amp;rep=rep1&amp;type=pdf" TargetMode="External"/><Relationship Id="rId96" Type="http://schemas.openxmlformats.org/officeDocument/2006/relationships/hyperlink" Target="https://citeseerx.ist.psu.edu/viewdoc/download?doi=10.1.1.118.6922&amp;rep=rep1&amp;type=pdf" TargetMode="External"/><Relationship Id="rId140" Type="http://schemas.openxmlformats.org/officeDocument/2006/relationships/hyperlink" Target="https://doi.org/10.1109/ISEE.2008.4562888" TargetMode="External"/><Relationship Id="rId145" Type="http://schemas.openxmlformats.org/officeDocument/2006/relationships/hyperlink" Target="https://doi.org/10.1109/ISEE.2008.4562888" TargetMode="External"/><Relationship Id="rId161" Type="http://schemas.openxmlformats.org/officeDocument/2006/relationships/hyperlink" Target="https://doi.org/10.1016/S0360-5442(03)00008-2" TargetMode="External"/><Relationship Id="rId166" Type="http://schemas.openxmlformats.org/officeDocument/2006/relationships/hyperlink" Target="https://doi.org/10.1016/S0360-5442(03)00008-2" TargetMode="External"/><Relationship Id="rId182" Type="http://schemas.openxmlformats.org/officeDocument/2006/relationships/hyperlink" Target="https://doi.org/10.1021/es903297k" TargetMode="External"/><Relationship Id="rId187" Type="http://schemas.openxmlformats.org/officeDocument/2006/relationships/hyperlink" Target="https://gabi.sphera.com/international/databases/gabi-databases/electronics/" TargetMode="External"/><Relationship Id="rId1" Type="http://schemas.openxmlformats.org/officeDocument/2006/relationships/hyperlink" Target="https://doi.org/10.3390/challe5020409" TargetMode="External"/><Relationship Id="rId6" Type="http://schemas.openxmlformats.org/officeDocument/2006/relationships/hyperlink" Target="https://www.umc.com/upload/media/07_Sustainability/72_Reports_and_Results/1_Corporate_Sustainability_Reports/CSR_Reports/CS_Report_English_pdf/2015_CSR_report_eng_all.pdf" TargetMode="External"/><Relationship Id="rId23" Type="http://schemas.openxmlformats.org/officeDocument/2006/relationships/hyperlink" Target="https://www.umc.com/upload/media/07_Sustainability/72_Reports_and_Results/1_Corporate_Sustainability_Reports/CSR_Reports/CS_Report_English_pdf/2014_CSR_report_eng_all.pdf" TargetMode="External"/><Relationship Id="rId28" Type="http://schemas.openxmlformats.org/officeDocument/2006/relationships/hyperlink" Target="https://csr.tsmc.com/download/csr/2017_tsmc_csr/english/pdf/e_all.pdf" TargetMode="External"/><Relationship Id="rId49" Type="http://schemas.openxmlformats.org/officeDocument/2006/relationships/hyperlink" Target="http://ieeexplore.ieee.org/document/6691120/" TargetMode="External"/><Relationship Id="rId114" Type="http://schemas.openxmlformats.org/officeDocument/2006/relationships/hyperlink" Target="https://eps.ieee.org/images/files/Roadmap/ITRSESH2015.pdf" TargetMode="External"/><Relationship Id="rId119" Type="http://schemas.openxmlformats.org/officeDocument/2006/relationships/hyperlink" Target="http://www.atlantis-press.com/php/paper-details.php?id=25860375" TargetMode="External"/><Relationship Id="rId44" Type="http://schemas.openxmlformats.org/officeDocument/2006/relationships/hyperlink" Target="http://link.springer.com/10.1007/978-1-4419-9988-7" TargetMode="External"/><Relationship Id="rId60"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65" Type="http://schemas.openxmlformats.org/officeDocument/2006/relationships/hyperlink" Target="https://www.fairphone.com/wp-content/uploads/2020/07/Fairphone_3_LCA.pdf" TargetMode="External"/><Relationship Id="rId81" Type="http://schemas.openxmlformats.org/officeDocument/2006/relationships/hyperlink" Target="https://www.smics.com/uploads/2015_SMIC_CSR_Report.pdf" TargetMode="External"/><Relationship Id="rId86" Type="http://schemas.openxmlformats.org/officeDocument/2006/relationships/hyperlink" Target="https://citeseerx.ist.psu.edu/viewdoc/download?doi=10.1.1.118.6922&amp;rep=rep1&amp;type=pdf" TargetMode="External"/><Relationship Id="rId130" Type="http://schemas.openxmlformats.org/officeDocument/2006/relationships/hyperlink" Target="http://ieeexplore.ieee.org/document/6691120/" TargetMode="External"/><Relationship Id="rId135" Type="http://schemas.openxmlformats.org/officeDocument/2006/relationships/hyperlink" Target="http://ieeexplore.ieee.org/document/6691120/" TargetMode="External"/><Relationship Id="rId151" Type="http://schemas.openxmlformats.org/officeDocument/2006/relationships/hyperlink" Target="https://doi.org/10.1109/ISEE.2008.4562888" TargetMode="External"/><Relationship Id="rId156" Type="http://schemas.openxmlformats.org/officeDocument/2006/relationships/hyperlink" Target="https://doi.org/10.1021/es025643o" TargetMode="External"/><Relationship Id="rId177" Type="http://schemas.openxmlformats.org/officeDocument/2006/relationships/hyperlink" Target="https://doi.org/10.1021/es903297k" TargetMode="External"/><Relationship Id="rId172" Type="http://schemas.openxmlformats.org/officeDocument/2006/relationships/hyperlink" Target="http://hdl.handle.net/1721.1/46056" TargetMode="External"/><Relationship Id="rId13" Type="http://schemas.openxmlformats.org/officeDocument/2006/relationships/hyperlink" Target="https://gabi.sphera.com/international/databases/gabi-databases/electronics/" TargetMode="External"/><Relationship Id="rId18" Type="http://schemas.openxmlformats.org/officeDocument/2006/relationships/hyperlink" Target="https://eps.ieee.org/images/files/Roadmap/ITRSESH2015.pdf" TargetMode="External"/><Relationship Id="rId39" Type="http://schemas.openxmlformats.org/officeDocument/2006/relationships/hyperlink" Target="https://www.st.com/content/ccc/resource/corporate/financial/quarterly_report/10/d8/a7/80/66/69/47/c4/ST_sustainability_report_2014.pdf/files/ST_sustainability_report_2014.pdf/_jcr_content/translations/en.ST_sustainability_report_2014.pdf" TargetMode="External"/><Relationship Id="rId109" Type="http://schemas.openxmlformats.org/officeDocument/2006/relationships/hyperlink" Target="https://citeseerx.ist.psu.edu/viewdoc/download?doi=10.1.1.118.6922&amp;rep=rep1&amp;type=pdf" TargetMode="External"/><Relationship Id="rId34"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50" Type="http://schemas.openxmlformats.org/officeDocument/2006/relationships/hyperlink" Target="https://ieeexplore.ieee.org/document/9372004/" TargetMode="External"/><Relationship Id="rId55" Type="http://schemas.openxmlformats.org/officeDocument/2006/relationships/hyperlink" Target="https://ieeexplore.ieee.org/document/9372004/" TargetMode="External"/><Relationship Id="rId76" Type="http://schemas.openxmlformats.org/officeDocument/2006/relationships/hyperlink" Target="https://www.smics.com/uploads/1_&amp;e4&amp;b8&amp;ad&amp;e8&amp;8a&amp;af&amp;e5&amp;9b&amp;bd&amp;e9&amp;99&amp;85&amp;e7&amp;a4&amp;be&amp;e4&amp;bc&amp;9a&amp;e8&amp;b4&amp;a3&amp;e4&amp;bb&amp;bb&amp;e6&amp;8a&amp;a5&amp;e5&amp;91&amp;8a-&amp;e8&amp;8b&amp;b1&amp;e6&amp;96&amp;87&amp;e6&amp;8c&amp;82&amp;e7&amp;bd&amp;91&amp;e7&amp;89&amp;887.26-5.pdf" TargetMode="External"/><Relationship Id="rId97" Type="http://schemas.openxmlformats.org/officeDocument/2006/relationships/hyperlink" Target="https://citeseerx.ist.psu.edu/viewdoc/download?doi=10.1.1.118.6922&amp;rep=rep1&amp;type=pdf" TargetMode="External"/><Relationship Id="rId104" Type="http://schemas.openxmlformats.org/officeDocument/2006/relationships/hyperlink" Target="https://citeseerx.ist.psu.edu/viewdoc/download?doi=10.1.1.118.6922&amp;rep=rep1&amp;type=pdf" TargetMode="External"/><Relationship Id="rId120" Type="http://schemas.openxmlformats.org/officeDocument/2006/relationships/hyperlink" Target="https://doi.org/10.14288/1.0167496" TargetMode="External"/><Relationship Id="rId125" Type="http://schemas.openxmlformats.org/officeDocument/2006/relationships/hyperlink" Target="https://doi.org/10.14288/1.0167496" TargetMode="External"/><Relationship Id="rId141" Type="http://schemas.openxmlformats.org/officeDocument/2006/relationships/hyperlink" Target="https://doi.org/10.1109/ISEE.2008.4562888" TargetMode="External"/><Relationship Id="rId146" Type="http://schemas.openxmlformats.org/officeDocument/2006/relationships/hyperlink" Target="https://doi.org/10.1109/ISEE.2008.4562888" TargetMode="External"/><Relationship Id="rId167" Type="http://schemas.openxmlformats.org/officeDocument/2006/relationships/hyperlink" Target="https://doi.org/10.1109/ISEE.2008.4562888" TargetMode="External"/><Relationship Id="rId188" Type="http://schemas.openxmlformats.org/officeDocument/2006/relationships/hyperlink" Target="https://gabi.sphera.com/international/databases/gabi-databases/electronics/" TargetMode="External"/><Relationship Id="rId7" Type="http://schemas.openxmlformats.org/officeDocument/2006/relationships/hyperlink" Target="https://www.umc.com/upload/media/07_Sustainability/72_Reports_and_Results/1_Corporate_Sustainability_Reports/CSR_Reports/CS_Report_English_pdf/2014_CSR_report_eng_all.pdf" TargetMode="External"/><Relationship Id="rId71" Type="http://schemas.openxmlformats.org/officeDocument/2006/relationships/hyperlink" Target="https://gf.com/sites/default/files/globalfoundries-corporate-responsibility-report-9-23-final.pdf" TargetMode="External"/><Relationship Id="rId92" Type="http://schemas.openxmlformats.org/officeDocument/2006/relationships/hyperlink" Target="https://citeseerx.ist.psu.edu/viewdoc/download?doi=10.1.1.118.6922&amp;rep=rep1&amp;type=pdf" TargetMode="External"/><Relationship Id="rId162" Type="http://schemas.openxmlformats.org/officeDocument/2006/relationships/hyperlink" Target="https://doi.org/10.1016/S0360-5442(03)00008-2" TargetMode="External"/><Relationship Id="rId183" Type="http://schemas.openxmlformats.org/officeDocument/2006/relationships/hyperlink" Target="https://doi.org/10.1021/es903297k" TargetMode="External"/><Relationship Id="rId2"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29" Type="http://schemas.openxmlformats.org/officeDocument/2006/relationships/hyperlink" Target="https://csr.tsmc.com/download/csr/2016_tsmc_csr/english/index.html" TargetMode="External"/><Relationship Id="rId24" Type="http://schemas.openxmlformats.org/officeDocument/2006/relationships/hyperlink" Target="https://esg.tsmc.com/download/csr/2019-csr-report/english/pdf/e-all.pdf" TargetMode="External"/><Relationship Id="rId40" Type="http://schemas.openxmlformats.org/officeDocument/2006/relationships/hyperlink" Target="https://www.st.com/content/ccc/resource/corporate/financial/quarterly_report/b9/93/95/97/e7/4b/4a/c9/ST_sustainability_report_2013.pdf/files/ST_sustainability_report_2013.pdf/_jcr_content/translations/en.ST_sustainability_report_2013.pdf" TargetMode="External"/><Relationship Id="rId45" Type="http://schemas.openxmlformats.org/officeDocument/2006/relationships/hyperlink" Target="http://link.springer.com/10.1007/978-1-4419-9988-7" TargetMode="External"/><Relationship Id="rId66" Type="http://schemas.openxmlformats.org/officeDocument/2006/relationships/hyperlink" Target="https://www.globalfoundries.com/sites/default/files/2021-01/gf_2020_csr_report.pdf" TargetMode="External"/><Relationship Id="rId87" Type="http://schemas.openxmlformats.org/officeDocument/2006/relationships/hyperlink" Target="https://citeseerx.ist.psu.edu/viewdoc/download?doi=10.1.1.118.6922&amp;rep=rep1&amp;type=pdf" TargetMode="External"/><Relationship Id="rId110" Type="http://schemas.openxmlformats.org/officeDocument/2006/relationships/hyperlink" Target="https://citeseerx.ist.psu.edu/viewdoc/download?doi=10.1.1.118.6922&amp;rep=rep1&amp;type=pdf" TargetMode="External"/><Relationship Id="rId115" Type="http://schemas.openxmlformats.org/officeDocument/2006/relationships/hyperlink" Target="https://eps.ieee.org/images/files/Roadmap/ITRSESH2015.pdf" TargetMode="External"/><Relationship Id="rId131" Type="http://schemas.openxmlformats.org/officeDocument/2006/relationships/hyperlink" Target="http://ieeexplore.ieee.org/document/6691120/" TargetMode="External"/><Relationship Id="rId136" Type="http://schemas.openxmlformats.org/officeDocument/2006/relationships/hyperlink" Target="http://ieeexplore.ieee.org/document/6691120/" TargetMode="External"/><Relationship Id="rId157" Type="http://schemas.openxmlformats.org/officeDocument/2006/relationships/hyperlink" Target="https://doi.org/10.1021/es025643o" TargetMode="External"/><Relationship Id="rId178" Type="http://schemas.openxmlformats.org/officeDocument/2006/relationships/hyperlink" Target="https://doi.org/10.1021/es903297k" TargetMode="External"/><Relationship Id="rId61"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82" Type="http://schemas.openxmlformats.org/officeDocument/2006/relationships/hyperlink" Target="https://www.smics.com/uploads/2014_SMIC_CSR_Report.pdf" TargetMode="External"/><Relationship Id="rId152" Type="http://schemas.openxmlformats.org/officeDocument/2006/relationships/hyperlink" Target="https://doi.org/10.1109/ISEE.2008.4562888" TargetMode="External"/><Relationship Id="rId173" Type="http://schemas.openxmlformats.org/officeDocument/2006/relationships/hyperlink" Target="http://hdl.handle.net/1721.1/46056" TargetMode="External"/><Relationship Id="rId19" Type="http://schemas.openxmlformats.org/officeDocument/2006/relationships/hyperlink" Target="https://eps.ieee.org/images/files/Roadmap/ITRSESH2015.pdf" TargetMode="External"/><Relationship Id="rId14" Type="http://schemas.openxmlformats.org/officeDocument/2006/relationships/hyperlink" Target="https://gabi.sphera.com/international/databases/gabi-databases/electronics/" TargetMode="External"/><Relationship Id="rId30" Type="http://schemas.openxmlformats.org/officeDocument/2006/relationships/hyperlink" Target="https://csr.tsmc.com/download/csr/2014_tsmc_csr/english/index.html" TargetMode="External"/><Relationship Id="rId35" Type="http://schemas.openxmlformats.org/officeDocument/2006/relationships/hyperlink" Target="https://www.st.com/content/ccc/resource/corporate/financial/quarterly_report/group0/ed/d9/47/32/a4/d6/42/01/ST_Sustainability_Report_2019/files/ST_Sustainability_Report_2019.pdf/jcr:content/translations/en.ST_Sustainability_Report_2019.pdf" TargetMode="External"/><Relationship Id="rId56" Type="http://schemas.openxmlformats.org/officeDocument/2006/relationships/hyperlink" Target="https://ieeexplore.ieee.org/document/9372004/" TargetMode="External"/><Relationship Id="rId77" Type="http://schemas.openxmlformats.org/officeDocument/2006/relationships/hyperlink" Target="https://www.smics.com/uploads/2019%20SMIC%20CSR%20Report%20Final-&amp;e8&amp;8b&amp;b1&amp;e6&amp;96&amp;87.pdf" TargetMode="External"/><Relationship Id="rId100" Type="http://schemas.openxmlformats.org/officeDocument/2006/relationships/hyperlink" Target="https://citeseerx.ist.psu.edu/viewdoc/download?doi=10.1.1.118.6922&amp;rep=rep1&amp;type=pdf" TargetMode="External"/><Relationship Id="rId105" Type="http://schemas.openxmlformats.org/officeDocument/2006/relationships/hyperlink" Target="https://citeseerx.ist.psu.edu/viewdoc/download?doi=10.1.1.118.6922&amp;rep=rep1&amp;type=pdf" TargetMode="External"/><Relationship Id="rId126" Type="http://schemas.openxmlformats.org/officeDocument/2006/relationships/hyperlink" Target="https://doi.org/10.14288/1.0167496" TargetMode="External"/><Relationship Id="rId147" Type="http://schemas.openxmlformats.org/officeDocument/2006/relationships/hyperlink" Target="https://doi.org/10.1109/ISEE.2008.4562888" TargetMode="External"/><Relationship Id="rId168" Type="http://schemas.openxmlformats.org/officeDocument/2006/relationships/hyperlink" Target="http://hdl.handle.net/1721.1/46056" TargetMode="External"/><Relationship Id="rId8" Type="http://schemas.openxmlformats.org/officeDocument/2006/relationships/hyperlink" Target="https://eps.ieee.org/images/files/Roadmap/ITRSESH2015.pdf" TargetMode="External"/><Relationship Id="rId51" Type="http://schemas.openxmlformats.org/officeDocument/2006/relationships/hyperlink" Target="https://ieeexplore.ieee.org/document/9372004/" TargetMode="External"/><Relationship Id="rId72" Type="http://schemas.openxmlformats.org/officeDocument/2006/relationships/hyperlink" Target="https://gf.com/sites/default/files/gf-2016-csr-report-12-21-16.pdf" TargetMode="External"/><Relationship Id="rId93" Type="http://schemas.openxmlformats.org/officeDocument/2006/relationships/hyperlink" Target="https://citeseerx.ist.psu.edu/viewdoc/download?doi=10.1.1.118.6922&amp;rep=rep1&amp;type=pdf" TargetMode="External"/><Relationship Id="rId98" Type="http://schemas.openxmlformats.org/officeDocument/2006/relationships/hyperlink" Target="https://citeseerx.ist.psu.edu/viewdoc/download?doi=10.1.1.118.6922&amp;rep=rep1&amp;type=pdf" TargetMode="External"/><Relationship Id="rId121" Type="http://schemas.openxmlformats.org/officeDocument/2006/relationships/hyperlink" Target="https://doi.org/10.14288/1.0167496" TargetMode="External"/><Relationship Id="rId142" Type="http://schemas.openxmlformats.org/officeDocument/2006/relationships/hyperlink" Target="https://doi.org/10.1109/ISEE.2008.4562888" TargetMode="External"/><Relationship Id="rId163" Type="http://schemas.openxmlformats.org/officeDocument/2006/relationships/hyperlink" Target="https://doi.org/10.1016/S0360-5442(03)00008-2" TargetMode="External"/><Relationship Id="rId184" Type="http://schemas.openxmlformats.org/officeDocument/2006/relationships/hyperlink" Target="https://doi.org/10.1021/es903297k" TargetMode="External"/><Relationship Id="rId189" Type="http://schemas.openxmlformats.org/officeDocument/2006/relationships/printerSettings" Target="../printerSettings/printerSettings1.bin"/><Relationship Id="rId3" Type="http://schemas.openxmlformats.org/officeDocument/2006/relationships/hyperlink" Target="https://www.umc.com/upload/media/07_Sustainability/72_Reports_and_Results/1_Corporate_Sustainability_Reports/CSR_Reports/CS_Report_English_pdf/2018_CSR_report_eng_all.pdf" TargetMode="External"/><Relationship Id="rId25" Type="http://schemas.openxmlformats.org/officeDocument/2006/relationships/hyperlink" Target="https://csr.tsmc.com/download/csr/2018_tsmc_csr_report_published_May_2019/english/pdf/e_all.pdf" TargetMode="External"/><Relationship Id="rId46" Type="http://schemas.openxmlformats.org/officeDocument/2006/relationships/hyperlink" Target="https://doi.org/10.3390/challe8020021" TargetMode="External"/><Relationship Id="rId67" Type="http://schemas.openxmlformats.org/officeDocument/2006/relationships/hyperlink" Target="https://gf.com/sites/default/files/gf_crr19_0808_final_2.pdf" TargetMode="External"/><Relationship Id="rId116" Type="http://schemas.openxmlformats.org/officeDocument/2006/relationships/hyperlink" Target="https://doi.org/10.1109/FTFC.2013.6577767" TargetMode="External"/><Relationship Id="rId137" Type="http://schemas.openxmlformats.org/officeDocument/2006/relationships/hyperlink" Target="https://doi.org/10.1109/ISEE.2008.4562888" TargetMode="External"/><Relationship Id="rId158" Type="http://schemas.openxmlformats.org/officeDocument/2006/relationships/hyperlink" Target="https://doi.org/10.1021/es025643o" TargetMode="External"/><Relationship Id="rId20" Type="http://schemas.openxmlformats.org/officeDocument/2006/relationships/hyperlink" Target="https://eps.ieee.org/images/files/Roadmap/ITRSESH2015.pdf" TargetMode="External"/><Relationship Id="rId41" Type="http://schemas.openxmlformats.org/officeDocument/2006/relationships/hyperlink" Target="https://www.st.com/content/ccc/resource/corporate/financial/quarterly_report/cb/63/3a/fd/90/ae/4b/46/cr12.pdf/files/cr12.pdf/_jcr_content/translations/en.cr12.pdf" TargetMode="External"/><Relationship Id="rId62" Type="http://schemas.openxmlformats.org/officeDocument/2006/relationships/hyperlink" Target="https://esg.tsmc.com/download/csr/2019-csr-report/english/pdf/e-all.pdf" TargetMode="External"/><Relationship Id="rId83" Type="http://schemas.openxmlformats.org/officeDocument/2006/relationships/hyperlink" Target="https://www.smics.com/uploads/2013_SMIC_CSR_Report.pdf" TargetMode="External"/><Relationship Id="rId88" Type="http://schemas.openxmlformats.org/officeDocument/2006/relationships/hyperlink" Target="https://citeseerx.ist.psu.edu/viewdoc/download?doi=10.1.1.118.6922&amp;rep=rep1&amp;type=pdf" TargetMode="External"/><Relationship Id="rId111" Type="http://schemas.openxmlformats.org/officeDocument/2006/relationships/hyperlink" Target="https://citeseerx.ist.psu.edu/viewdoc/download?doi=10.1.1.118.6922&amp;rep=rep1&amp;type=pdf" TargetMode="External"/><Relationship Id="rId132" Type="http://schemas.openxmlformats.org/officeDocument/2006/relationships/hyperlink" Target="http://ieeexplore.ieee.org/document/6691120/" TargetMode="External"/><Relationship Id="rId153" Type="http://schemas.openxmlformats.org/officeDocument/2006/relationships/hyperlink" Target="https://doi.org/10.1109/ISEE.2008.4562888" TargetMode="External"/><Relationship Id="rId174" Type="http://schemas.openxmlformats.org/officeDocument/2006/relationships/hyperlink" Target="http://hdl.handle.net/1721.1/46056" TargetMode="External"/><Relationship Id="rId179" Type="http://schemas.openxmlformats.org/officeDocument/2006/relationships/hyperlink" Target="https://doi.org/10.1021/es903297k" TargetMode="External"/><Relationship Id="rId15" Type="http://schemas.openxmlformats.org/officeDocument/2006/relationships/hyperlink" Target="https://gabi.sphera.com/international/databases/gabi-databases/electronics/" TargetMode="External"/><Relationship Id="rId36" Type="http://schemas.openxmlformats.org/officeDocument/2006/relationships/hyperlink" Target="https://www.st.com/content/ccc/resource/corporate/financial/quarterly_report/group0/66/45/58/d7/6a/4e/49/98/ST_Sustainability_Report_2018/files/ST_Sustainability_Report_2018.pdf/_jcr_content/translations/en.ST_Sustainability_Report_2018.pdf" TargetMode="External"/><Relationship Id="rId57" Type="http://schemas.openxmlformats.org/officeDocument/2006/relationships/hyperlink" Target="https://ieeexplore.ieee.org/document/9372004/" TargetMode="External"/><Relationship Id="rId106" Type="http://schemas.openxmlformats.org/officeDocument/2006/relationships/hyperlink" Target="https://citeseerx.ist.psu.edu/viewdoc/download?doi=10.1.1.118.6922&amp;rep=rep1&amp;type=pdf" TargetMode="External"/><Relationship Id="rId127" Type="http://schemas.openxmlformats.org/officeDocument/2006/relationships/hyperlink" Target="https://doi.org/10.1109/IGCC.2017.8323572" TargetMode="External"/><Relationship Id="rId10" Type="http://schemas.openxmlformats.org/officeDocument/2006/relationships/hyperlink" Target="https://gabi.sphera.com/international/databases/gabi-databases/electronics/" TargetMode="External"/><Relationship Id="rId31" Type="http://schemas.openxmlformats.org/officeDocument/2006/relationships/hyperlink" Target="https://csr.tsmc.com/download/csr/2013_tsmc_csr/english/index.html" TargetMode="External"/><Relationship Id="rId52" Type="http://schemas.openxmlformats.org/officeDocument/2006/relationships/hyperlink" Target="https://ieeexplore.ieee.org/document/9372004/" TargetMode="External"/><Relationship Id="rId73" Type="http://schemas.openxmlformats.org/officeDocument/2006/relationships/hyperlink" Target="https://gf.com/sites/default/files/globalfoundries-corporate-responsibility-report-9-23-final.pdf" TargetMode="External"/><Relationship Id="rId78" Type="http://schemas.openxmlformats.org/officeDocument/2006/relationships/hyperlink" Target="https://www.smics.com/uploads/2018%20CSR%20Report-EN.pdf" TargetMode="External"/><Relationship Id="rId94" Type="http://schemas.openxmlformats.org/officeDocument/2006/relationships/hyperlink" Target="https://citeseerx.ist.psu.edu/viewdoc/download?doi=10.1.1.118.6922&amp;rep=rep1&amp;type=pdf" TargetMode="External"/><Relationship Id="rId99" Type="http://schemas.openxmlformats.org/officeDocument/2006/relationships/hyperlink" Target="https://citeseerx.ist.psu.edu/viewdoc/download?doi=10.1.1.118.6922&amp;rep=rep1&amp;type=pdf" TargetMode="External"/><Relationship Id="rId101" Type="http://schemas.openxmlformats.org/officeDocument/2006/relationships/hyperlink" Target="https://citeseerx.ist.psu.edu/viewdoc/download?doi=10.1.1.118.6922&amp;rep=rep1&amp;type=pdf" TargetMode="External"/><Relationship Id="rId122" Type="http://schemas.openxmlformats.org/officeDocument/2006/relationships/hyperlink" Target="https://doi.org/10.1109/MCE.2015.2484639" TargetMode="External"/><Relationship Id="rId143" Type="http://schemas.openxmlformats.org/officeDocument/2006/relationships/hyperlink" Target="https://doi.org/10.1109/ISEE.2008.4562888" TargetMode="External"/><Relationship Id="rId148" Type="http://schemas.openxmlformats.org/officeDocument/2006/relationships/hyperlink" Target="https://doi.org/10.1109/ISEE.2008.4562888" TargetMode="External"/><Relationship Id="rId164" Type="http://schemas.openxmlformats.org/officeDocument/2006/relationships/hyperlink" Target="https://doi.org/10.1016/S0360-5442(03)00008-2" TargetMode="External"/><Relationship Id="rId169" Type="http://schemas.openxmlformats.org/officeDocument/2006/relationships/hyperlink" Target="http://hdl.handle.net/1721.1/46056" TargetMode="External"/><Relationship Id="rId185" Type="http://schemas.openxmlformats.org/officeDocument/2006/relationships/hyperlink" Target="https://gabi.sphera.com/international/databases/gabi-databases/electronics/" TargetMode="External"/><Relationship Id="rId4" Type="http://schemas.openxmlformats.org/officeDocument/2006/relationships/hyperlink" Target="https://www.umc.com/upload/media/07_Sustainability/72_Reports_and_Results/1_Corporate_Sustainability_Reports/CSR_Reports/CS_Report_English_pdf/2017_CSR_report_eng_all.pdf" TargetMode="External"/><Relationship Id="rId9" Type="http://schemas.openxmlformats.org/officeDocument/2006/relationships/hyperlink" Target="https://gabi.sphera.com/international/databases/gabi-databases/electronics/" TargetMode="External"/><Relationship Id="rId180" Type="http://schemas.openxmlformats.org/officeDocument/2006/relationships/hyperlink" Target="https://doi.org/10.1021/es903297k" TargetMode="Externa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19.bin"/><Relationship Id="rId1" Type="http://schemas.openxmlformats.org/officeDocument/2006/relationships/hyperlink" Target="https://doi.org/10.1109/ISSST.2010.5507677"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20.bin"/><Relationship Id="rId1" Type="http://schemas.openxmlformats.org/officeDocument/2006/relationships/hyperlink" Target="https://doi.org/10.1016/j.segan.2020.100408" TargetMode="External"/></Relationships>
</file>

<file path=xl/worksheets/_rels/sheet22.xml.rels><?xml version="1.0" encoding="UTF-8" standalone="yes"?>
<Relationships xmlns="http://schemas.openxmlformats.org/package/2006/relationships"><Relationship Id="rId3" Type="http://schemas.openxmlformats.org/officeDocument/2006/relationships/printerSettings" Target="../printerSettings/printerSettings21.bin"/><Relationship Id="rId2" Type="http://schemas.openxmlformats.org/officeDocument/2006/relationships/hyperlink" Target="https://doi.org/10.1016/j.jclepro.2011.03.004" TargetMode="External"/><Relationship Id="rId1" Type="http://schemas.openxmlformats.org/officeDocument/2006/relationships/hyperlink" Target="https://doi.org/10.1109/ISEE.2008.4562888" TargetMode="External"/><Relationship Id="rId4" Type="http://schemas.openxmlformats.org/officeDocument/2006/relationships/drawing" Target="../drawings/drawing10.xml"/></Relationships>
</file>

<file path=xl/worksheets/_rels/sheet23.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22.bin"/><Relationship Id="rId1" Type="http://schemas.openxmlformats.org/officeDocument/2006/relationships/hyperlink" Target="https://download.atlantis-press.com/article/25860375.pdf" TargetMode="External"/></Relationships>
</file>

<file path=xl/worksheets/_rels/sheet24.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23.bin"/><Relationship Id="rId1" Type="http://schemas.openxmlformats.org/officeDocument/2006/relationships/hyperlink" Target="https://doi.org/10.1109/ICCAD.2013.6691120" TargetMode="External"/></Relationships>
</file>

<file path=xl/worksheets/_rels/sheet25.xml.rels><?xml version="1.0" encoding="UTF-8" standalone="yes"?>
<Relationships xmlns="http://schemas.openxmlformats.org/package/2006/relationships"><Relationship Id="rId3" Type="http://schemas.openxmlformats.org/officeDocument/2006/relationships/printerSettings" Target="../printerSettings/printerSettings24.bin"/><Relationship Id="rId2" Type="http://schemas.openxmlformats.org/officeDocument/2006/relationships/hyperlink" Target="https://doi.org/10.1109/IGCC.2017.8323572" TargetMode="External"/><Relationship Id="rId1" Type="http://schemas.openxmlformats.org/officeDocument/2006/relationships/hyperlink" Target="https://doi.org/10.1109/IGCC.2016.7892605" TargetMode="External"/><Relationship Id="rId4" Type="http://schemas.openxmlformats.org/officeDocument/2006/relationships/drawing" Target="../drawings/drawing13.xml"/></Relationships>
</file>

<file path=xl/worksheets/_rels/sheet26.xml.rels><?xml version="1.0" encoding="UTF-8" standalone="yes"?>
<Relationships xmlns="http://schemas.openxmlformats.org/package/2006/relationships"><Relationship Id="rId3" Type="http://schemas.openxmlformats.org/officeDocument/2006/relationships/hyperlink" Target="https://math.stackexchange.com/questions/3007527/how-many-squares-fit-in-a-circle" TargetMode="External"/><Relationship Id="rId2" Type="http://schemas.openxmlformats.org/officeDocument/2006/relationships/hyperlink" Target="https://www.symbolab.com/solver/equation-calculator/491%3D%5Cfrac%7B3.14%5Ccdot%5Cleft(150%5E%7B2%7D%5Cright)%7D%7Bx%7D-%5Cfrac%7B3.14%5Ccdot150%7D%7B%5Csqrt%7B2%5Ccdot%20x%7D%7D?or=input" TargetMode="External"/><Relationship Id="rId1" Type="http://schemas.openxmlformats.org/officeDocument/2006/relationships/hyperlink" Target="https://pubs.acs.org/doi/abs/10.1021/es071174k" TargetMode="External"/><Relationship Id="rId4" Type="http://schemas.openxmlformats.org/officeDocument/2006/relationships/printerSettings" Target="../printerSettings/printerSettings25.bin"/></Relationships>
</file>

<file path=xl/worksheets/_rels/sheet27.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26.bin"/><Relationship Id="rId1" Type="http://schemas.openxmlformats.org/officeDocument/2006/relationships/hyperlink" Target="https://doi.org/10.1016/S0360-5442(03)00008-2" TargetMode="External"/></Relationships>
</file>

<file path=xl/worksheets/_rels/sheet28.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rinterSettings" Target="../printerSettings/printerSettings27.bin"/><Relationship Id="rId1" Type="http://schemas.openxmlformats.org/officeDocument/2006/relationships/hyperlink" Target="https://doi.org/10.1007/s13762-015-0869-z" TargetMode="External"/></Relationships>
</file>

<file path=xl/worksheets/_rels/sheet29.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28.bin"/><Relationship Id="rId1" Type="http://schemas.openxmlformats.org/officeDocument/2006/relationships/hyperlink" Target="https://doi.org/10.1021/es034434g" TargetMode="External"/></Relationships>
</file>

<file path=xl/worksheets/_rels/sheet3.xml.rels><?xml version="1.0" encoding="UTF-8" standalone="yes"?>
<Relationships xmlns="http://schemas.openxmlformats.org/package/2006/relationships"><Relationship Id="rId117" Type="http://schemas.openxmlformats.org/officeDocument/2006/relationships/hyperlink" Target="https://www.fairphone.com/wp-content/uploads/2016/11/Fairphone_2_LCA_Final_20161122.pdf" TargetMode="External"/><Relationship Id="rId21" Type="http://schemas.openxmlformats.org/officeDocument/2006/relationships/hyperlink" Target="https://esg.tsmc.com/download/csr/2019-csr-report/english/pdf/e-all.pdf" TargetMode="External"/><Relationship Id="rId42" Type="http://schemas.openxmlformats.org/officeDocument/2006/relationships/hyperlink" Target="https://eps.ieee.org/images/files/Roadmap/ITRSESH2015.pdf" TargetMode="External"/><Relationship Id="rId63" Type="http://schemas.openxmlformats.org/officeDocument/2006/relationships/hyperlink" Target="https://citeseerx.ist.psu.edu/viewdoc/download?doi=10.1.1.118.6922&amp;rep=rep1&amp;type=pdf" TargetMode="External"/><Relationship Id="rId84" Type="http://schemas.openxmlformats.org/officeDocument/2006/relationships/hyperlink" Target="https://www.smics.com/uploads/1_&amp;e4&amp;b8&amp;ad&amp;e8&amp;8a&amp;af&amp;e5&amp;9b&amp;bd&amp;e9&amp;99&amp;85&amp;e7&amp;a4&amp;be&amp;e4&amp;bc&amp;9a&amp;e8&amp;b4&amp;a3&amp;e4&amp;bb&amp;bb&amp;e6&amp;8a&amp;a5&amp;e5&amp;91&amp;8a-&amp;e8&amp;8b&amp;b1&amp;e6&amp;96&amp;87&amp;e6&amp;8c&amp;82&amp;e7&amp;bd&amp;91&amp;e7&amp;89&amp;887.26-5.pdf" TargetMode="External"/><Relationship Id="rId138" Type="http://schemas.openxmlformats.org/officeDocument/2006/relationships/hyperlink" Target="https://doi.org/10.1109/ISEE.2008.4562888" TargetMode="External"/><Relationship Id="rId159" Type="http://schemas.openxmlformats.org/officeDocument/2006/relationships/hyperlink" Target="https://doi.org/10.1021/es903297k" TargetMode="External"/><Relationship Id="rId170" Type="http://schemas.openxmlformats.org/officeDocument/2006/relationships/hyperlink" Target="https://doi.org/10.14288/1.0167496" TargetMode="External"/><Relationship Id="rId191" Type="http://schemas.openxmlformats.org/officeDocument/2006/relationships/hyperlink" Target="https://doi.org/10.1016/j.segan.2020.100408" TargetMode="External"/><Relationship Id="rId205" Type="http://schemas.openxmlformats.org/officeDocument/2006/relationships/hyperlink" Target="https://gabi.sphera.com/international/databases/gabi-databases/electronics/" TargetMode="External"/><Relationship Id="rId107" Type="http://schemas.openxmlformats.org/officeDocument/2006/relationships/hyperlink" Target="https://doi.org/10.1021/es025643o" TargetMode="External"/><Relationship Id="rId11" Type="http://schemas.openxmlformats.org/officeDocument/2006/relationships/hyperlink" Target="https://eps.ieee.org/images/files/Roadmap/ITRSESH2015.pdf" TargetMode="External"/><Relationship Id="rId32" Type="http://schemas.openxmlformats.org/officeDocument/2006/relationships/hyperlink" Target="https://www.st.com/content/ccc/resource/corporate/financial/quarterly_report/group0/ed/d9/47/32/a4/d6/42/01/ST_Sustainability_Report_2019/files/ST_Sustainability_Report_2019.pdf/jcr:content/translations/en.ST_Sustainability_Report_2019.pdf" TargetMode="External"/><Relationship Id="rId37" Type="http://schemas.openxmlformats.org/officeDocument/2006/relationships/hyperlink" Target="https://www.st.com/content/ccc/resource/corporate/financial/quarterly_report/b9/93/95/97/e7/4b/4a/c9/ST_sustainability_report_2013.pdf/files/ST_sustainability_report_2013.pdf/_jcr_content/translations/en.ST_sustainability_report_2013.pdf" TargetMode="External"/><Relationship Id="rId53" Type="http://schemas.openxmlformats.org/officeDocument/2006/relationships/hyperlink" Target="https://citeseerx.ist.psu.edu/viewdoc/download?doi=10.1.1.118.6922&amp;rep=rep1&amp;type=pdf" TargetMode="External"/><Relationship Id="rId58" Type="http://schemas.openxmlformats.org/officeDocument/2006/relationships/hyperlink" Target="https://citeseerx.ist.psu.edu/viewdoc/download?doi=10.1.1.118.6922&amp;rep=rep1&amp;type=pdf" TargetMode="External"/><Relationship Id="rId74" Type="http://schemas.openxmlformats.org/officeDocument/2006/relationships/hyperlink" Target="https://citeseerx.ist.psu.edu/viewdoc/download?doi=10.1.1.118.6922&amp;rep=rep1&amp;type=pdf" TargetMode="External"/><Relationship Id="rId79" Type="http://schemas.openxmlformats.org/officeDocument/2006/relationships/hyperlink" Target="https://citeseerx.ist.psu.edu/viewdoc/download?doi=10.1.1.118.6922&amp;rep=rep1&amp;type=pdf" TargetMode="External"/><Relationship Id="rId102" Type="http://schemas.openxmlformats.org/officeDocument/2006/relationships/hyperlink" Target="https://gf.com/sites/default/files/2012-corporate-responsibility-report.pdf" TargetMode="External"/><Relationship Id="rId123" Type="http://schemas.openxmlformats.org/officeDocument/2006/relationships/hyperlink" Target="https://doi.org/10.1109/ISEE.2008.4562888" TargetMode="External"/><Relationship Id="rId128" Type="http://schemas.openxmlformats.org/officeDocument/2006/relationships/hyperlink" Target="https://doi.org/10.1109/ISEE.2008.4562888" TargetMode="External"/><Relationship Id="rId144" Type="http://schemas.openxmlformats.org/officeDocument/2006/relationships/hyperlink" Target="https://doi.org/10.1016/S0360-5442(03)00008-2" TargetMode="External"/><Relationship Id="rId149" Type="http://schemas.openxmlformats.org/officeDocument/2006/relationships/hyperlink" Target="http://hdl.handle.net/1721.1/46056" TargetMode="External"/><Relationship Id="rId5" Type="http://schemas.openxmlformats.org/officeDocument/2006/relationships/hyperlink" Target="https://eps.ieee.org/images/files/Roadmap/ITRSESH2015.pdf" TargetMode="External"/><Relationship Id="rId90" Type="http://schemas.openxmlformats.org/officeDocument/2006/relationships/hyperlink" Target="https://www.smics.com/uploads/2014_SMIC_CSR_Report.pdf" TargetMode="External"/><Relationship Id="rId95" Type="http://schemas.openxmlformats.org/officeDocument/2006/relationships/hyperlink" Target="https://gf.com/sites/default/files/gf_crr19_0808_final_2.pdf" TargetMode="External"/><Relationship Id="rId160" Type="http://schemas.openxmlformats.org/officeDocument/2006/relationships/hyperlink" Target="https://doi.org/10.1021/es903297k" TargetMode="External"/><Relationship Id="rId165" Type="http://schemas.openxmlformats.org/officeDocument/2006/relationships/hyperlink" Target="https://doi.org/10.1109/FTFC.2013.6577767" TargetMode="External"/><Relationship Id="rId181" Type="http://schemas.openxmlformats.org/officeDocument/2006/relationships/hyperlink" Target="https://doi.org/10.1109/ISSST.2011.5936883" TargetMode="External"/><Relationship Id="rId186" Type="http://schemas.openxmlformats.org/officeDocument/2006/relationships/hyperlink" Target="https://doi.org/10.1016/j.segan.2020.100408" TargetMode="External"/><Relationship Id="rId216" Type="http://schemas.openxmlformats.org/officeDocument/2006/relationships/printerSettings" Target="../printerSettings/printerSettings2.bin"/><Relationship Id="rId211" Type="http://schemas.openxmlformats.org/officeDocument/2006/relationships/hyperlink" Target="https://gabi.sphera.com/international/databases/gabi-databases/electronics/" TargetMode="External"/><Relationship Id="rId22" Type="http://schemas.openxmlformats.org/officeDocument/2006/relationships/hyperlink" Target="https://csr.tsmc.com/download/csr/2018_tsmc_csr_report_published_May_2019/english/pdf/e_all.pdf" TargetMode="External"/><Relationship Id="rId27" Type="http://schemas.openxmlformats.org/officeDocument/2006/relationships/hyperlink" Target="https://csr.tsmc.com/download/csr/2014_tsmc_csr/english/index.html" TargetMode="External"/><Relationship Id="rId43"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48" Type="http://schemas.openxmlformats.org/officeDocument/2006/relationships/hyperlink" Target="https://ieeexplore.ieee.org/document/9372004/" TargetMode="External"/><Relationship Id="rId64" Type="http://schemas.openxmlformats.org/officeDocument/2006/relationships/hyperlink" Target="https://citeseerx.ist.psu.edu/viewdoc/download?doi=10.1.1.118.6922&amp;rep=rep1&amp;type=pdf" TargetMode="External"/><Relationship Id="rId69" Type="http://schemas.openxmlformats.org/officeDocument/2006/relationships/hyperlink" Target="https://citeseerx.ist.psu.edu/viewdoc/download?doi=10.1.1.118.6922&amp;rep=rep1&amp;type=pdf" TargetMode="External"/><Relationship Id="rId113" Type="http://schemas.openxmlformats.org/officeDocument/2006/relationships/hyperlink" Target="https://doi.org/10.14288/1.0167496" TargetMode="External"/><Relationship Id="rId118" Type="http://schemas.openxmlformats.org/officeDocument/2006/relationships/hyperlink" Target="https://www.fairphone.com/wp-content/uploads/2020/07/Fairphone_3_LCA.pdf" TargetMode="External"/><Relationship Id="rId134" Type="http://schemas.openxmlformats.org/officeDocument/2006/relationships/hyperlink" Target="https://doi.org/10.1109/ISEE.2008.4562888" TargetMode="External"/><Relationship Id="rId139" Type="http://schemas.openxmlformats.org/officeDocument/2006/relationships/hyperlink" Target="https://doi.org/10.1016/S0360-5442(03)00008-2" TargetMode="External"/><Relationship Id="rId80" Type="http://schemas.openxmlformats.org/officeDocument/2006/relationships/hyperlink" Target="https://doi.org/10.1016/j.jclepro.2011.03.004" TargetMode="External"/><Relationship Id="rId85" Type="http://schemas.openxmlformats.org/officeDocument/2006/relationships/hyperlink" Target="https://www.smics.com/uploads/2019%20SMIC%20CSR%20Report%20Final-&amp;e8&amp;8b&amp;b1&amp;e6&amp;96&amp;87.pdf" TargetMode="External"/><Relationship Id="rId150" Type="http://schemas.openxmlformats.org/officeDocument/2006/relationships/hyperlink" Target="http://hdl.handle.net/1721.1/46056" TargetMode="External"/><Relationship Id="rId155" Type="http://schemas.openxmlformats.org/officeDocument/2006/relationships/hyperlink" Target="https://doi.org/10.1021/es034434g" TargetMode="External"/><Relationship Id="rId171" Type="http://schemas.openxmlformats.org/officeDocument/2006/relationships/hyperlink" Target="https://doi.org/10.14288/1.0167496" TargetMode="External"/><Relationship Id="rId176" Type="http://schemas.openxmlformats.org/officeDocument/2006/relationships/hyperlink" Target="https://doi.org/10.1109/IGCC.2017.8323572" TargetMode="External"/><Relationship Id="rId192" Type="http://schemas.openxmlformats.org/officeDocument/2006/relationships/hyperlink" Target="https://doi.org/10.1016/j.segan.2020.100408" TargetMode="External"/><Relationship Id="rId197" Type="http://schemas.openxmlformats.org/officeDocument/2006/relationships/hyperlink" Target="http://ieeexplore.ieee.org/document/6691120/" TargetMode="External"/><Relationship Id="rId206" Type="http://schemas.openxmlformats.org/officeDocument/2006/relationships/hyperlink" Target="https://gabi.sphera.com/international/databases/gabi-databases/electronics/" TargetMode="External"/><Relationship Id="rId201" Type="http://schemas.openxmlformats.org/officeDocument/2006/relationships/hyperlink" Target="http://ieeexplore.ieee.org/document/6691120/" TargetMode="External"/><Relationship Id="rId12"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17" Type="http://schemas.openxmlformats.org/officeDocument/2006/relationships/hyperlink" Target="https://www.umc.com/upload/media/07_Sustainability/72_Reports_and_Results/1_Corporate_Sustainability_Reports/CSR_Reports/CS_Report_English_pdf/2014_CSR_report_eng_all.pdf" TargetMode="External"/><Relationship Id="rId33" Type="http://schemas.openxmlformats.org/officeDocument/2006/relationships/hyperlink" Target="https://www.st.com/content/ccc/resource/corporate/financial/quarterly_report/group0/66/45/58/d7/6a/4e/49/98/ST_Sustainability_Report_2018/files/ST_Sustainability_Report_2018.pdf/_jcr_content/translations/en.ST_Sustainability_Report_2018.pdf" TargetMode="External"/><Relationship Id="rId38" Type="http://schemas.openxmlformats.org/officeDocument/2006/relationships/hyperlink" Target="https://www.st.com/content/ccc/resource/corporate/financial/quarterly_report/cb/63/3a/fd/90/ae/4b/46/cr12.pdf/files/cr12.pdf/_jcr_content/translations/en.cr12.pdf" TargetMode="External"/><Relationship Id="rId59" Type="http://schemas.openxmlformats.org/officeDocument/2006/relationships/hyperlink" Target="https://citeseerx.ist.psu.edu/viewdoc/download?doi=10.1.1.118.6922&amp;rep=rep1&amp;type=pdf" TargetMode="External"/><Relationship Id="rId103" Type="http://schemas.openxmlformats.org/officeDocument/2006/relationships/hyperlink" Target="https://gf.com/sites/default/files/2012-corporate-responsibility-report.pdf" TargetMode="External"/><Relationship Id="rId108" Type="http://schemas.openxmlformats.org/officeDocument/2006/relationships/hyperlink" Target="http://www.atlantis-press.com/php/paper-details.php?id=25860375" TargetMode="External"/><Relationship Id="rId124" Type="http://schemas.openxmlformats.org/officeDocument/2006/relationships/hyperlink" Target="https://doi.org/10.1109/ISEE.2008.4562888" TargetMode="External"/><Relationship Id="rId129" Type="http://schemas.openxmlformats.org/officeDocument/2006/relationships/hyperlink" Target="https://doi.org/10.1109/ISEE.2008.4562888" TargetMode="External"/><Relationship Id="rId54" Type="http://schemas.openxmlformats.org/officeDocument/2006/relationships/hyperlink" Target="https://citeseerx.ist.psu.edu/viewdoc/download?doi=10.1.1.118.6922&amp;rep=rep1&amp;type=pdf" TargetMode="External"/><Relationship Id="rId70" Type="http://schemas.openxmlformats.org/officeDocument/2006/relationships/hyperlink" Target="https://citeseerx.ist.psu.edu/viewdoc/download?doi=10.1.1.118.6922&amp;rep=rep1&amp;type=pdf" TargetMode="External"/><Relationship Id="rId75" Type="http://schemas.openxmlformats.org/officeDocument/2006/relationships/hyperlink" Target="https://citeseerx.ist.psu.edu/viewdoc/download?doi=10.1.1.118.6922&amp;rep=rep1&amp;type=pdf" TargetMode="External"/><Relationship Id="rId91" Type="http://schemas.openxmlformats.org/officeDocument/2006/relationships/hyperlink" Target="https://www.smics.com/uploads/2013_SMIC_CSR_Report.pdf" TargetMode="External"/><Relationship Id="rId96" Type="http://schemas.openxmlformats.org/officeDocument/2006/relationships/hyperlink" Target="https://gf.com/sites/default/files/gf_crr18_1219a.pdf" TargetMode="External"/><Relationship Id="rId140" Type="http://schemas.openxmlformats.org/officeDocument/2006/relationships/hyperlink" Target="https://doi.org/10.1016/S0360-5442(03)00008-2" TargetMode="External"/><Relationship Id="rId145" Type="http://schemas.openxmlformats.org/officeDocument/2006/relationships/hyperlink" Target="https://doi.org/10.1016/S0360-5442(03)00008-2" TargetMode="External"/><Relationship Id="rId161" Type="http://schemas.openxmlformats.org/officeDocument/2006/relationships/hyperlink" Target="https://doi.org/10.1021/es903297k" TargetMode="External"/><Relationship Id="rId166" Type="http://schemas.openxmlformats.org/officeDocument/2006/relationships/hyperlink" Target="https://doi.org/10.1109/FTFC.2013.6577767" TargetMode="External"/><Relationship Id="rId182" Type="http://schemas.openxmlformats.org/officeDocument/2006/relationships/hyperlink" Target="https://doi.org/10.1016/j.segan.2020.100408" TargetMode="External"/><Relationship Id="rId187" Type="http://schemas.openxmlformats.org/officeDocument/2006/relationships/hyperlink" Target="https://doi.org/10.1016/j.segan.2020.100408" TargetMode="External"/><Relationship Id="rId1" Type="http://schemas.openxmlformats.org/officeDocument/2006/relationships/hyperlink" Target="https://eps.ieee.org/images/files/Roadmap/ITRSESH2015.pdf" TargetMode="External"/><Relationship Id="rId6" Type="http://schemas.openxmlformats.org/officeDocument/2006/relationships/hyperlink" Target="https://eps.ieee.org/images/files/Roadmap/ITRSESH2015.pdf" TargetMode="External"/><Relationship Id="rId212" Type="http://schemas.openxmlformats.org/officeDocument/2006/relationships/hyperlink" Target="https://gabi.sphera.com/international/databases/gabi-databases/electronics/" TargetMode="External"/><Relationship Id="rId23" Type="http://schemas.openxmlformats.org/officeDocument/2006/relationships/hyperlink" Target="https://csr.tsmc.com/download/csr/2018_tsmc_csr/english/pdf/e_all.pdf" TargetMode="External"/><Relationship Id="rId28" Type="http://schemas.openxmlformats.org/officeDocument/2006/relationships/hyperlink" Target="https://csr.tsmc.com/download/csr/2013_tsmc_csr/english/index.html" TargetMode="External"/><Relationship Id="rId49" Type="http://schemas.openxmlformats.org/officeDocument/2006/relationships/hyperlink" Target="https://www.umweltbundesamt.de/sites/default/files/medien/378/publikationen/texte_82_2013_janssen_informationstechnik_teil_c.pdf" TargetMode="External"/><Relationship Id="rId114" Type="http://schemas.openxmlformats.org/officeDocument/2006/relationships/hyperlink" Target="https://doi.org/10.14288/1.0167496" TargetMode="External"/><Relationship Id="rId119" Type="http://schemas.openxmlformats.org/officeDocument/2006/relationships/hyperlink" Target="https://doi.org/10.1109/ISEE.2008.4562888" TargetMode="External"/><Relationship Id="rId44"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60" Type="http://schemas.openxmlformats.org/officeDocument/2006/relationships/hyperlink" Target="https://citeseerx.ist.psu.edu/viewdoc/download?doi=10.1.1.118.6922&amp;rep=rep1&amp;type=pdf" TargetMode="External"/><Relationship Id="rId65" Type="http://schemas.openxmlformats.org/officeDocument/2006/relationships/hyperlink" Target="https://citeseerx.ist.psu.edu/viewdoc/download?doi=10.1.1.118.6922&amp;rep=rep1&amp;type=pdf" TargetMode="External"/><Relationship Id="rId81" Type="http://schemas.openxmlformats.org/officeDocument/2006/relationships/hyperlink" Target="https://ieeexplore.ieee.org/document/9372004/" TargetMode="External"/><Relationship Id="rId86" Type="http://schemas.openxmlformats.org/officeDocument/2006/relationships/hyperlink" Target="https://www.smics.com/uploads/2018%20CSR%20Report-EN.pdf" TargetMode="External"/><Relationship Id="rId130" Type="http://schemas.openxmlformats.org/officeDocument/2006/relationships/hyperlink" Target="https://doi.org/10.1109/ISEE.2008.4562888" TargetMode="External"/><Relationship Id="rId135" Type="http://schemas.openxmlformats.org/officeDocument/2006/relationships/hyperlink" Target="https://doi.org/10.1109/ISEE.2008.4562888" TargetMode="External"/><Relationship Id="rId151" Type="http://schemas.openxmlformats.org/officeDocument/2006/relationships/hyperlink" Target="http://hdl.handle.net/1721.1/46056" TargetMode="External"/><Relationship Id="rId156" Type="http://schemas.openxmlformats.org/officeDocument/2006/relationships/hyperlink" Target="https://doi.org/10.1021/es034434g" TargetMode="External"/><Relationship Id="rId177" Type="http://schemas.openxmlformats.org/officeDocument/2006/relationships/hyperlink" Target="https://doi.org/10.1109/ISSST.2011.5936883" TargetMode="External"/><Relationship Id="rId198" Type="http://schemas.openxmlformats.org/officeDocument/2006/relationships/hyperlink" Target="http://ieeexplore.ieee.org/document/6691120/" TargetMode="External"/><Relationship Id="rId172" Type="http://schemas.openxmlformats.org/officeDocument/2006/relationships/hyperlink" Target="https://doi.org/10.14288/1.0167496" TargetMode="External"/><Relationship Id="rId193" Type="http://schemas.openxmlformats.org/officeDocument/2006/relationships/hyperlink" Target="https://doi.org/10.1016/j.segan.2020.100408" TargetMode="External"/><Relationship Id="rId202" Type="http://schemas.openxmlformats.org/officeDocument/2006/relationships/hyperlink" Target="http://ieeexplore.ieee.org/document/6691120/" TargetMode="External"/><Relationship Id="rId207" Type="http://schemas.openxmlformats.org/officeDocument/2006/relationships/hyperlink" Target="https://gabi.sphera.com/international/databases/gabi-databases/electronics/" TargetMode="External"/><Relationship Id="rId13" Type="http://schemas.openxmlformats.org/officeDocument/2006/relationships/hyperlink" Target="https://www.umc.com/upload/media/07_Sustainability/72_Reports_and_Results/1_Corporate_Sustainability_Reports/CSR_Reports/CS_Report_English_pdf/2018_CSR_report_eng_all.pdf" TargetMode="External"/><Relationship Id="rId18" Type="http://schemas.openxmlformats.org/officeDocument/2006/relationships/hyperlink" Target="https://www.umc.com/upload/media/07_Sustainability/72_Reports_and_Results/1_Corporate_Sustainability_Reports/CSR_Reports/CS_Report_English_pdf/2014_CSR_report_eng_all.pdf" TargetMode="External"/><Relationship Id="rId39" Type="http://schemas.openxmlformats.org/officeDocument/2006/relationships/hyperlink" Target="https://www.st.com/content/ccc/resource/corporate/financial/quarterly_report/a4/bb/ea/fb/e6/8a/46/0f/cr11.pdf/files/cr11.pdf/_jcr_content/translations/en.cr11.pdf" TargetMode="External"/><Relationship Id="rId109" Type="http://schemas.openxmlformats.org/officeDocument/2006/relationships/hyperlink" Target="http://www.atlantis-press.com/php/paper-details.php?id=25860375" TargetMode="External"/><Relationship Id="rId34" Type="http://schemas.openxmlformats.org/officeDocument/2006/relationships/hyperlink" Target="https://www.st.com/content/ccc/resource/corporate/financial/quarterly_report/group0/8b/57/65/59/08/d7/48/fc/ST_Sustainability_Report_2017/files/ST_Sustainability_Report_2017.pdf/_jcr_content/translations/en.ST_Sustainability_Report_2017.pdf" TargetMode="External"/><Relationship Id="rId50" Type="http://schemas.openxmlformats.org/officeDocument/2006/relationships/hyperlink" Target="https://doi.org/10.1016/j.segan.2020.100408" TargetMode="External"/><Relationship Id="rId55" Type="http://schemas.openxmlformats.org/officeDocument/2006/relationships/hyperlink" Target="https://citeseerx.ist.psu.edu/viewdoc/download?doi=10.1.1.118.6922&amp;rep=rep1&amp;type=pdf" TargetMode="External"/><Relationship Id="rId76" Type="http://schemas.openxmlformats.org/officeDocument/2006/relationships/hyperlink" Target="https://citeseerx.ist.psu.edu/viewdoc/download?doi=10.1.1.118.6922&amp;rep=rep1&amp;type=pdf" TargetMode="External"/><Relationship Id="rId97" Type="http://schemas.openxmlformats.org/officeDocument/2006/relationships/hyperlink" Target="https://gf.com/sites/default/files/globalfoundries-2017-csr-report-final.pdf" TargetMode="External"/><Relationship Id="rId104" Type="http://schemas.openxmlformats.org/officeDocument/2006/relationships/hyperlink" Target="https://download.atlantis-press.com/article/25860375.pdf" TargetMode="External"/><Relationship Id="rId120" Type="http://schemas.openxmlformats.org/officeDocument/2006/relationships/hyperlink" Target="https://doi.org/10.1109/ISEE.2008.4562888" TargetMode="External"/><Relationship Id="rId125" Type="http://schemas.openxmlformats.org/officeDocument/2006/relationships/hyperlink" Target="https://doi.org/10.1109/ISEE.2008.4562888" TargetMode="External"/><Relationship Id="rId141" Type="http://schemas.openxmlformats.org/officeDocument/2006/relationships/hyperlink" Target="https://doi.org/10.1016/S0360-5442(03)00008-2" TargetMode="External"/><Relationship Id="rId146" Type="http://schemas.openxmlformats.org/officeDocument/2006/relationships/hyperlink" Target="https://doi.org/10.1016/S0360-5442(03)00008-2" TargetMode="External"/><Relationship Id="rId167" Type="http://schemas.openxmlformats.org/officeDocument/2006/relationships/hyperlink" Target="https://doi.org/10.1109/FTFC.2013.6577767" TargetMode="External"/><Relationship Id="rId188" Type="http://schemas.openxmlformats.org/officeDocument/2006/relationships/hyperlink" Target="https://doi.org/10.1016/j.segan.2020.100408" TargetMode="External"/><Relationship Id="rId7" Type="http://schemas.openxmlformats.org/officeDocument/2006/relationships/hyperlink" Target="https://eps.ieee.org/images/files/Roadmap/ITRSESH2015.pdf" TargetMode="External"/><Relationship Id="rId71" Type="http://schemas.openxmlformats.org/officeDocument/2006/relationships/hyperlink" Target="https://citeseerx.ist.psu.edu/viewdoc/download?doi=10.1.1.118.6922&amp;rep=rep1&amp;type=pdf" TargetMode="External"/><Relationship Id="rId92" Type="http://schemas.openxmlformats.org/officeDocument/2006/relationships/hyperlink" Target="https://www.smics.com/uploads/2011-2012_SMIC_CSR_Report.pdf" TargetMode="External"/><Relationship Id="rId162" Type="http://schemas.openxmlformats.org/officeDocument/2006/relationships/hyperlink" Target="https://doi.org/10.1021/es903297k" TargetMode="External"/><Relationship Id="rId183" Type="http://schemas.openxmlformats.org/officeDocument/2006/relationships/hyperlink" Target="https://doi.org/10.1016/j.segan.2020.100408" TargetMode="External"/><Relationship Id="rId213" Type="http://schemas.openxmlformats.org/officeDocument/2006/relationships/hyperlink" Target="https://gabi.sphera.com/international/databases/gabi-databases/electronics/" TargetMode="External"/><Relationship Id="rId2" Type="http://schemas.openxmlformats.org/officeDocument/2006/relationships/hyperlink" Target="https://eps.ieee.org/images/files/Roadmap/ITRSESH2015.pdf" TargetMode="External"/><Relationship Id="rId29" Type="http://schemas.openxmlformats.org/officeDocument/2006/relationships/hyperlink" Target="https://csr.tsmc.com/download/csr/2012_tsmc_csr/tsmc-e.html" TargetMode="External"/><Relationship Id="rId24" Type="http://schemas.openxmlformats.org/officeDocument/2006/relationships/hyperlink" Target="https://csr.tsmc.com/download/csr/2015_tsmc_csr/english/index.html" TargetMode="External"/><Relationship Id="rId40" Type="http://schemas.openxmlformats.org/officeDocument/2006/relationships/hyperlink" Target="https://eps.ieee.org/images/files/Roadmap/ITRSESH2015.pdf" TargetMode="External"/><Relationship Id="rId45" Type="http://schemas.openxmlformats.org/officeDocument/2006/relationships/hyperlink" Target="https://esg.tsmc.com/download/csr/2019-csr-report/english/pdf/e-all.pdf" TargetMode="External"/><Relationship Id="rId66" Type="http://schemas.openxmlformats.org/officeDocument/2006/relationships/hyperlink" Target="https://citeseerx.ist.psu.edu/viewdoc/download?doi=10.1.1.118.6922&amp;rep=rep1&amp;type=pdf" TargetMode="External"/><Relationship Id="rId87" Type="http://schemas.openxmlformats.org/officeDocument/2006/relationships/hyperlink" Target="https://www.smics.com/uploads/2017%20SMIC%20CSR%20Report%20_EN.pdf" TargetMode="External"/><Relationship Id="rId110" Type="http://schemas.openxmlformats.org/officeDocument/2006/relationships/hyperlink" Target="https://pubs.acs.org/doi/abs/10.1021/es071174k" TargetMode="External"/><Relationship Id="rId115" Type="http://schemas.openxmlformats.org/officeDocument/2006/relationships/hyperlink" Target="https://download.atlantis-press.com/article/25860375.pdf" TargetMode="External"/><Relationship Id="rId131" Type="http://schemas.openxmlformats.org/officeDocument/2006/relationships/hyperlink" Target="https://doi.org/10.1109/ISEE.2008.4562888" TargetMode="External"/><Relationship Id="rId136" Type="http://schemas.openxmlformats.org/officeDocument/2006/relationships/hyperlink" Target="https://doi.org/10.1109/ISEE.2008.4562888" TargetMode="External"/><Relationship Id="rId157" Type="http://schemas.openxmlformats.org/officeDocument/2006/relationships/hyperlink" Target="https://doi.org/10.1021/es903297k" TargetMode="External"/><Relationship Id="rId178" Type="http://schemas.openxmlformats.org/officeDocument/2006/relationships/hyperlink" Target="https://doi.org/10.1109/ISSST.2011.5936883" TargetMode="External"/><Relationship Id="rId61" Type="http://schemas.openxmlformats.org/officeDocument/2006/relationships/hyperlink" Target="https://citeseerx.ist.psu.edu/viewdoc/download?doi=10.1.1.118.6922&amp;rep=rep1&amp;type=pdf" TargetMode="External"/><Relationship Id="rId82" Type="http://schemas.openxmlformats.org/officeDocument/2006/relationships/hyperlink" Target="http://link.springer.com/10.1007/978-1-4419-9988-7" TargetMode="External"/><Relationship Id="rId152" Type="http://schemas.openxmlformats.org/officeDocument/2006/relationships/hyperlink" Target="http://hdl.handle.net/1721.1/46056" TargetMode="External"/><Relationship Id="rId173" Type="http://schemas.openxmlformats.org/officeDocument/2006/relationships/hyperlink" Target="https://doi.org/10.14288/1.0167496" TargetMode="External"/><Relationship Id="rId194" Type="http://schemas.openxmlformats.org/officeDocument/2006/relationships/hyperlink" Target="https://doi.org/10.1016/j.segan.2020.100408" TargetMode="External"/><Relationship Id="rId199" Type="http://schemas.openxmlformats.org/officeDocument/2006/relationships/hyperlink" Target="http://ieeexplore.ieee.org/document/6691120/" TargetMode="External"/><Relationship Id="rId203" Type="http://schemas.openxmlformats.org/officeDocument/2006/relationships/hyperlink" Target="http://ieeexplore.ieee.org/document/6691120/" TargetMode="External"/><Relationship Id="rId208" Type="http://schemas.openxmlformats.org/officeDocument/2006/relationships/hyperlink" Target="https://gabi.sphera.com/international/databases/gabi-databases/electronics/" TargetMode="External"/><Relationship Id="rId19" Type="http://schemas.openxmlformats.org/officeDocument/2006/relationships/hyperlink" Target="https://www.umc.com/upload/media/07_Sustainability/72_Reports_and_Results/1_Corporate_Sustainability_Reports/CSR_Reports/CS_Report_English_pdf/2014_CSR_report_eng_all.pdf" TargetMode="External"/><Relationship Id="rId14" Type="http://schemas.openxmlformats.org/officeDocument/2006/relationships/hyperlink" Target="https://www.umc.com/upload/media/07_Sustainability/72_Reports_and_Results/1_Corporate_Sustainability_Reports/CSR_Reports/CS_Report_English_pdf/2017_CSR_report_eng_all.pdf" TargetMode="External"/><Relationship Id="rId30" Type="http://schemas.openxmlformats.org/officeDocument/2006/relationships/hyperlink" Target="https://csr.tsmc.com/download/csr/2011_tsmc_csr_e/tsmc-e.html" TargetMode="External"/><Relationship Id="rId35" Type="http://schemas.openxmlformats.org/officeDocument/2006/relationships/hyperlink" Target="https://www.st.com/content/ccc/resource/corporate/financial/quarterly_report/group0/8b/a2/52/e4/63/84/47/27/Sustainability%20Report%202015/files/cr15.pdf/_jcr_content/translations/en.cr15.pdf" TargetMode="External"/><Relationship Id="rId56" Type="http://schemas.openxmlformats.org/officeDocument/2006/relationships/hyperlink" Target="https://citeseerx.ist.psu.edu/viewdoc/download?doi=10.1.1.118.6922&amp;rep=rep1&amp;type=pdf" TargetMode="External"/><Relationship Id="rId77" Type="http://schemas.openxmlformats.org/officeDocument/2006/relationships/hyperlink" Target="https://citeseerx.ist.psu.edu/viewdoc/download?doi=10.1.1.118.6922&amp;rep=rep1&amp;type=pdf" TargetMode="External"/><Relationship Id="rId100" Type="http://schemas.openxmlformats.org/officeDocument/2006/relationships/hyperlink" Target="https://gf.com/sites/default/files/gf-2016-csr-report-12-21-16.pdf" TargetMode="External"/><Relationship Id="rId105" Type="http://schemas.openxmlformats.org/officeDocument/2006/relationships/hyperlink" Target="https://doi.org/10.1016/j.jclepro.2011.03.004" TargetMode="External"/><Relationship Id="rId126" Type="http://schemas.openxmlformats.org/officeDocument/2006/relationships/hyperlink" Target="https://doi.org/10.1109/ISEE.2008.4562888" TargetMode="External"/><Relationship Id="rId147" Type="http://schemas.openxmlformats.org/officeDocument/2006/relationships/hyperlink" Target="https://doi.org/10.1021/es025643o" TargetMode="External"/><Relationship Id="rId168" Type="http://schemas.openxmlformats.org/officeDocument/2006/relationships/hyperlink" Target="https://www.mpedram.com/Papers/lifecycle-inventory-analysis-finfet-issst14.pdf" TargetMode="External"/><Relationship Id="rId8" Type="http://schemas.openxmlformats.org/officeDocument/2006/relationships/hyperlink" Target="https://eps.ieee.org/images/files/Roadmap/ITRSESH2015.pdf" TargetMode="External"/><Relationship Id="rId51" Type="http://schemas.openxmlformats.org/officeDocument/2006/relationships/hyperlink" Target="https://citeseerx.ist.psu.edu/viewdoc/download?doi=10.1.1.118.6922&amp;rep=rep1&amp;type=pdf" TargetMode="External"/><Relationship Id="rId72" Type="http://schemas.openxmlformats.org/officeDocument/2006/relationships/hyperlink" Target="https://citeseerx.ist.psu.edu/viewdoc/download?doi=10.1.1.118.6922&amp;rep=rep1&amp;type=pdf" TargetMode="External"/><Relationship Id="rId93" Type="http://schemas.openxmlformats.org/officeDocument/2006/relationships/hyperlink" Target="https://www.smics.com/uploads/2011-2012_SMIC_CSR_Report.pdf" TargetMode="External"/><Relationship Id="rId98" Type="http://schemas.openxmlformats.org/officeDocument/2006/relationships/hyperlink" Target="https://gf.com/sites/default/files/gf-2016-csr-report-12-21-16.pdf" TargetMode="External"/><Relationship Id="rId121" Type="http://schemas.openxmlformats.org/officeDocument/2006/relationships/hyperlink" Target="https://doi.org/10.1109/ISEE.2008.4562888" TargetMode="External"/><Relationship Id="rId142" Type="http://schemas.openxmlformats.org/officeDocument/2006/relationships/hyperlink" Target="https://doi.org/10.1016/S0360-5442(03)00008-2" TargetMode="External"/><Relationship Id="rId163" Type="http://schemas.openxmlformats.org/officeDocument/2006/relationships/hyperlink" Target="https://doi.org/10.1021/es903297k" TargetMode="External"/><Relationship Id="rId184" Type="http://schemas.openxmlformats.org/officeDocument/2006/relationships/hyperlink" Target="https://doi.org/10.1016/j.segan.2020.100408" TargetMode="External"/><Relationship Id="rId189" Type="http://schemas.openxmlformats.org/officeDocument/2006/relationships/hyperlink" Target="https://doi.org/10.1016/j.segan.2020.100408" TargetMode="External"/><Relationship Id="rId3" Type="http://schemas.openxmlformats.org/officeDocument/2006/relationships/hyperlink" Target="https://eps.ieee.org/images/files/Roadmap/ITRSESH2015.pdf" TargetMode="External"/><Relationship Id="rId214" Type="http://schemas.openxmlformats.org/officeDocument/2006/relationships/hyperlink" Target="https://gabi.sphera.com/international/databases/gabi-databases/electronics/" TargetMode="External"/><Relationship Id="rId25" Type="http://schemas.openxmlformats.org/officeDocument/2006/relationships/hyperlink" Target="https://csr.tsmc.com/download/csr/2017_tsmc_csr/english/pdf/e_all.pdf" TargetMode="External"/><Relationship Id="rId46" Type="http://schemas.openxmlformats.org/officeDocument/2006/relationships/hyperlink" Target="https://doi.org/10.1021/es025643o" TargetMode="External"/><Relationship Id="rId67" Type="http://schemas.openxmlformats.org/officeDocument/2006/relationships/hyperlink" Target="https://citeseerx.ist.psu.edu/viewdoc/download?doi=10.1.1.118.6922&amp;rep=rep1&amp;type=pdf" TargetMode="External"/><Relationship Id="rId116" Type="http://schemas.openxmlformats.org/officeDocument/2006/relationships/hyperlink" Target="https://download.atlantis-press.com/article/25860375.pdf" TargetMode="External"/><Relationship Id="rId137" Type="http://schemas.openxmlformats.org/officeDocument/2006/relationships/hyperlink" Target="https://doi.org/10.1109/ISEE.2008.4562888" TargetMode="External"/><Relationship Id="rId158" Type="http://schemas.openxmlformats.org/officeDocument/2006/relationships/hyperlink" Target="https://doi.org/10.1021/es903297k" TargetMode="External"/><Relationship Id="rId20" Type="http://schemas.openxmlformats.org/officeDocument/2006/relationships/hyperlink" Target="https://www.umc.com/upload/media/07_Sustainability/72_Reports_and_Results/1_Corporate_Sustainability_Reports/CSR_Reports/CS_Report_English_pdf/2014_CSR_report_eng_all.pdf" TargetMode="External"/><Relationship Id="rId41" Type="http://schemas.openxmlformats.org/officeDocument/2006/relationships/hyperlink" Target="https://eps.ieee.org/images/files/Roadmap/ITRSESH2015.pdf" TargetMode="External"/><Relationship Id="rId62" Type="http://schemas.openxmlformats.org/officeDocument/2006/relationships/hyperlink" Target="https://citeseerx.ist.psu.edu/viewdoc/download?doi=10.1.1.118.6922&amp;rep=rep1&amp;type=pdf" TargetMode="External"/><Relationship Id="rId83" Type="http://schemas.openxmlformats.org/officeDocument/2006/relationships/hyperlink" Target="http://link.springer.com/10.1007/978-1-4419-9988-7" TargetMode="External"/><Relationship Id="rId88" Type="http://schemas.openxmlformats.org/officeDocument/2006/relationships/hyperlink" Target="https://www.smics.com/uploads/2016_SMIC_CSR_Report.pdf" TargetMode="External"/><Relationship Id="rId111" Type="http://schemas.openxmlformats.org/officeDocument/2006/relationships/hyperlink" Target="http://link.springer.com/10.1007/978-1-4419-9988-7" TargetMode="External"/><Relationship Id="rId132" Type="http://schemas.openxmlformats.org/officeDocument/2006/relationships/hyperlink" Target="https://doi.org/10.1109/ISEE.2008.4562888" TargetMode="External"/><Relationship Id="rId153" Type="http://schemas.openxmlformats.org/officeDocument/2006/relationships/hyperlink" Target="http://hdl.handle.net/1721.1/46056" TargetMode="External"/><Relationship Id="rId174" Type="http://schemas.openxmlformats.org/officeDocument/2006/relationships/hyperlink" Target="https://doi.org/10.14288/1.0167496" TargetMode="External"/><Relationship Id="rId179" Type="http://schemas.openxmlformats.org/officeDocument/2006/relationships/hyperlink" Target="https://doi.org/10.1109/ISSST.2011.5936883" TargetMode="External"/><Relationship Id="rId195" Type="http://schemas.openxmlformats.org/officeDocument/2006/relationships/hyperlink" Target="http://ieeexplore.ieee.org/document/6691120/" TargetMode="External"/><Relationship Id="rId209" Type="http://schemas.openxmlformats.org/officeDocument/2006/relationships/hyperlink" Target="https://gabi.sphera.com/international/databases/gabi-databases/electronics/" TargetMode="External"/><Relationship Id="rId190" Type="http://schemas.openxmlformats.org/officeDocument/2006/relationships/hyperlink" Target="https://doi.org/10.1016/j.segan.2020.100408" TargetMode="External"/><Relationship Id="rId204" Type="http://schemas.openxmlformats.org/officeDocument/2006/relationships/hyperlink" Target="https://gabi.sphera.com/international/databases/gabi-databases/electronics/" TargetMode="External"/><Relationship Id="rId15" Type="http://schemas.openxmlformats.org/officeDocument/2006/relationships/hyperlink" Target="https://www.umc.com/upload/media/07_Sustainability/72_Reports_and_Results/1_Corporate_Sustainability_Reports/CSR_Reports/CS_Report_English_pdf/2016_CSR_report_eng_all.pdf" TargetMode="External"/><Relationship Id="rId36" Type="http://schemas.openxmlformats.org/officeDocument/2006/relationships/hyperlink" Target="https://www.st.com/content/ccc/resource/corporate/financial/quarterly_report/10/d8/a7/80/66/69/47/c4/ST_sustainability_report_2014.pdf/files/ST_sustainability_report_2014.pdf/_jcr_content/translations/en.ST_sustainability_report_2014.pdf" TargetMode="External"/><Relationship Id="rId57" Type="http://schemas.openxmlformats.org/officeDocument/2006/relationships/hyperlink" Target="https://citeseerx.ist.psu.edu/viewdoc/download?doi=10.1.1.118.6922&amp;rep=rep1&amp;type=pdf" TargetMode="External"/><Relationship Id="rId106" Type="http://schemas.openxmlformats.org/officeDocument/2006/relationships/hyperlink" Target="https://doi.org/10.1021/es025643o" TargetMode="External"/><Relationship Id="rId127" Type="http://schemas.openxmlformats.org/officeDocument/2006/relationships/hyperlink" Target="https://doi.org/10.1109/ISEE.2008.4562888" TargetMode="External"/><Relationship Id="rId10" Type="http://schemas.openxmlformats.org/officeDocument/2006/relationships/hyperlink" Target="https://eps.ieee.org/images/files/Roadmap/ITRSESH2015.pdf" TargetMode="External"/><Relationship Id="rId31"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52" Type="http://schemas.openxmlformats.org/officeDocument/2006/relationships/hyperlink" Target="https://citeseerx.ist.psu.edu/viewdoc/download?doi=10.1.1.118.6922&amp;rep=rep1&amp;type=pdf" TargetMode="External"/><Relationship Id="rId73" Type="http://schemas.openxmlformats.org/officeDocument/2006/relationships/hyperlink" Target="https://citeseerx.ist.psu.edu/viewdoc/download?doi=10.1.1.118.6922&amp;rep=rep1&amp;type=pdf" TargetMode="External"/><Relationship Id="rId78" Type="http://schemas.openxmlformats.org/officeDocument/2006/relationships/hyperlink" Target="https://citeseerx.ist.psu.edu/viewdoc/download?doi=10.1.1.118.6922&amp;rep=rep1&amp;type=pdf" TargetMode="External"/><Relationship Id="rId94" Type="http://schemas.openxmlformats.org/officeDocument/2006/relationships/hyperlink" Target="https://www.globalfoundries.com/sites/default/files/2021-01/gf_2020_csr_report.pdf" TargetMode="External"/><Relationship Id="rId99" Type="http://schemas.openxmlformats.org/officeDocument/2006/relationships/hyperlink" Target="https://gf.com/sites/default/files/globalfoundries-corporate-responsibility-report-9-23-final.pdf" TargetMode="External"/><Relationship Id="rId101" Type="http://schemas.openxmlformats.org/officeDocument/2006/relationships/hyperlink" Target="https://gf.com/sites/default/files/globalfoundries-corporate-responsibility-report-9-23-final.pdf" TargetMode="External"/><Relationship Id="rId122" Type="http://schemas.openxmlformats.org/officeDocument/2006/relationships/hyperlink" Target="https://doi.org/10.1109/ISEE.2008.4562888" TargetMode="External"/><Relationship Id="rId143" Type="http://schemas.openxmlformats.org/officeDocument/2006/relationships/hyperlink" Target="https://doi.org/10.1016/S0360-5442(03)00008-2" TargetMode="External"/><Relationship Id="rId148" Type="http://schemas.openxmlformats.org/officeDocument/2006/relationships/hyperlink" Target="http://hdl.handle.net/1721.1/46056" TargetMode="External"/><Relationship Id="rId164" Type="http://schemas.openxmlformats.org/officeDocument/2006/relationships/hyperlink" Target="https://doi.org/10.1021/es903297k" TargetMode="External"/><Relationship Id="rId169" Type="http://schemas.openxmlformats.org/officeDocument/2006/relationships/hyperlink" Target="https://www.mpedram.com/Papers/lifecycle-inventory-analysis-finfet-issst14.pdf" TargetMode="External"/><Relationship Id="rId185" Type="http://schemas.openxmlformats.org/officeDocument/2006/relationships/hyperlink" Target="https://doi.org/10.1016/j.segan.2020.100408" TargetMode="External"/><Relationship Id="rId4" Type="http://schemas.openxmlformats.org/officeDocument/2006/relationships/hyperlink" Target="https://eps.ieee.org/images/files/Roadmap/ITRSESH2015.pdf" TargetMode="External"/><Relationship Id="rId9" Type="http://schemas.openxmlformats.org/officeDocument/2006/relationships/hyperlink" Target="https://eps.ieee.org/images/files/Roadmap/ITRSESH2015.pdf" TargetMode="External"/><Relationship Id="rId180" Type="http://schemas.openxmlformats.org/officeDocument/2006/relationships/hyperlink" Target="https://doi.org/10.1109/ISSST.2011.5936883" TargetMode="External"/><Relationship Id="rId210" Type="http://schemas.openxmlformats.org/officeDocument/2006/relationships/hyperlink" Target="https://gabi.sphera.com/international/databases/gabi-databases/electronics/" TargetMode="External"/><Relationship Id="rId215" Type="http://schemas.openxmlformats.org/officeDocument/2006/relationships/hyperlink" Target="https://gabi.sphera.com/international/databases/gabi-databases/electronics/" TargetMode="External"/><Relationship Id="rId26" Type="http://schemas.openxmlformats.org/officeDocument/2006/relationships/hyperlink" Target="https://csr.tsmc.com/download/csr/2016_tsmc_csr/english/index.html" TargetMode="External"/><Relationship Id="rId47" Type="http://schemas.openxmlformats.org/officeDocument/2006/relationships/hyperlink" Target="https://ieeexplore.ieee.org/document/9372004/" TargetMode="External"/><Relationship Id="rId68" Type="http://schemas.openxmlformats.org/officeDocument/2006/relationships/hyperlink" Target="https://citeseerx.ist.psu.edu/viewdoc/download?doi=10.1.1.118.6922&amp;rep=rep1&amp;type=pdf" TargetMode="External"/><Relationship Id="rId89" Type="http://schemas.openxmlformats.org/officeDocument/2006/relationships/hyperlink" Target="https://www.smics.com/uploads/2015_SMIC_CSR_Report.pdf" TargetMode="External"/><Relationship Id="rId112" Type="http://schemas.openxmlformats.org/officeDocument/2006/relationships/hyperlink" Target="https://doi.org/10.1016/j.segan.2020.100408" TargetMode="External"/><Relationship Id="rId133" Type="http://schemas.openxmlformats.org/officeDocument/2006/relationships/hyperlink" Target="https://doi.org/10.1109/ISEE.2008.4562888" TargetMode="External"/><Relationship Id="rId154" Type="http://schemas.openxmlformats.org/officeDocument/2006/relationships/hyperlink" Target="http://hdl.handle.net/1721.1/46056" TargetMode="External"/><Relationship Id="rId175" Type="http://schemas.openxmlformats.org/officeDocument/2006/relationships/hyperlink" Target="https://doi.org/10.1109/IGCC.2017.8323572" TargetMode="External"/><Relationship Id="rId196" Type="http://schemas.openxmlformats.org/officeDocument/2006/relationships/hyperlink" Target="http://ieeexplore.ieee.org/document/6691120/" TargetMode="External"/><Relationship Id="rId200" Type="http://schemas.openxmlformats.org/officeDocument/2006/relationships/hyperlink" Target="http://ieeexplore.ieee.org/document/6691120/" TargetMode="External"/><Relationship Id="rId16" Type="http://schemas.openxmlformats.org/officeDocument/2006/relationships/hyperlink" Target="https://www.umc.com/upload/media/07_Sustainability/72_Reports_and_Results/1_Corporate_Sustainability_Reports/CSR_Reports/CS_Report_English_pdf/2015_CSR_report_eng_all.pdf" TargetMode="External"/></Relationships>
</file>

<file path=xl/worksheets/_rels/sheet30.xml.rels><?xml version="1.0" encoding="UTF-8" standalone="yes"?>
<Relationships xmlns="http://schemas.openxmlformats.org/package/2006/relationships"><Relationship Id="rId3" Type="http://schemas.openxmlformats.org/officeDocument/2006/relationships/drawing" Target="../drawings/drawing17.xml"/><Relationship Id="rId2" Type="http://schemas.openxmlformats.org/officeDocument/2006/relationships/printerSettings" Target="../printerSettings/printerSettings29.bin"/><Relationship Id="rId1" Type="http://schemas.openxmlformats.org/officeDocument/2006/relationships/hyperlink" Target="https://citeseerx.ist.psu.edu/viewdoc/download?doi=10.1.1.118.6922&amp;rep=rep1&amp;type=pdf" TargetMode="External"/></Relationships>
</file>

<file path=xl/worksheets/_rels/sheet31.xml.rels><?xml version="1.0" encoding="UTF-8" standalone="yes"?>
<Relationships xmlns="http://schemas.openxmlformats.org/package/2006/relationships"><Relationship Id="rId3" Type="http://schemas.openxmlformats.org/officeDocument/2006/relationships/drawing" Target="../drawings/drawing18.xml"/><Relationship Id="rId2" Type="http://schemas.openxmlformats.org/officeDocument/2006/relationships/printerSettings" Target="../printerSettings/printerSettings30.bin"/><Relationship Id="rId1" Type="http://schemas.openxmlformats.org/officeDocument/2006/relationships/hyperlink" Target="https://www.umweltbundesamt.de/sites/default/files/medien/378/publikationen/texte_82_2013_janssen_informationstechnik_teil_c.pdf" TargetMode="External"/></Relationships>
</file>

<file path=xl/worksheets/_rels/sheet32.xml.rels><?xml version="1.0" encoding="UTF-8" standalone="yes"?>
<Relationships xmlns="http://schemas.openxmlformats.org/package/2006/relationships"><Relationship Id="rId3" Type="http://schemas.openxmlformats.org/officeDocument/2006/relationships/printerSettings" Target="../printerSettings/printerSettings31.bin"/><Relationship Id="rId2" Type="http://schemas.openxmlformats.org/officeDocument/2006/relationships/hyperlink" Target="https://www.fairphone.com/wp-content/uploads/2020/07/Fairphone_3_LCA.pdf" TargetMode="External"/><Relationship Id="rId1" Type="http://schemas.openxmlformats.org/officeDocument/2006/relationships/hyperlink" Target="https://www.fairphone.com/wp-content/uploads/2016/11/Fairphone_2_LCA_Final_20161122.pdf" TargetMode="External"/><Relationship Id="rId4" Type="http://schemas.openxmlformats.org/officeDocument/2006/relationships/drawing" Target="../drawings/drawing19.xml"/></Relationships>
</file>

<file path=xl/worksheets/_rels/sheet33.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32.bin"/><Relationship Id="rId1" Type="http://schemas.openxmlformats.org/officeDocument/2006/relationships/hyperlink" Target="http://link.springer.com/10.1007/s11367-011-0351-1" TargetMode="External"/></Relationships>
</file>

<file path=xl/worksheets/_rels/sheet34.xml.rels><?xml version="1.0" encoding="UTF-8" standalone="yes"?>
<Relationships xmlns="http://schemas.openxmlformats.org/package/2006/relationships"><Relationship Id="rId3" Type="http://schemas.openxmlformats.org/officeDocument/2006/relationships/drawing" Target="../drawings/drawing21.xml"/><Relationship Id="rId2" Type="http://schemas.openxmlformats.org/officeDocument/2006/relationships/printerSettings" Target="../printerSettings/printerSettings33.bin"/><Relationship Id="rId1" Type="http://schemas.openxmlformats.org/officeDocument/2006/relationships/hyperlink" Target="http://hdl.handle.net/2429/47025" TargetMode="External"/></Relationships>
</file>

<file path=xl/worksheets/_rels/sheet35.xml.rels><?xml version="1.0" encoding="UTF-8" standalone="yes"?>
<Relationships xmlns="http://schemas.openxmlformats.org/package/2006/relationships"><Relationship Id="rId3" Type="http://schemas.openxmlformats.org/officeDocument/2006/relationships/drawing" Target="../drawings/drawing22.xml"/><Relationship Id="rId2" Type="http://schemas.openxmlformats.org/officeDocument/2006/relationships/printerSettings" Target="../printerSettings/printerSettings34.bin"/><Relationship Id="rId1" Type="http://schemas.openxmlformats.org/officeDocument/2006/relationships/hyperlink" Target="https://www.mpedram.com/Papers/lifecycle-inventory-analysis-finfet-issst14.pdf" TargetMode="External"/></Relationships>
</file>

<file path=xl/worksheets/_rels/sheet36.xml.rels><?xml version="1.0" encoding="UTF-8" standalone="yes"?>
<Relationships xmlns="http://schemas.openxmlformats.org/package/2006/relationships"><Relationship Id="rId3" Type="http://schemas.openxmlformats.org/officeDocument/2006/relationships/hyperlink" Target="https://doi.org/10.1109/ISEE.2004.1299692" TargetMode="External"/><Relationship Id="rId2" Type="http://schemas.openxmlformats.org/officeDocument/2006/relationships/hyperlink" Target="https://doi.org/10.1021/es035152j" TargetMode="External"/><Relationship Id="rId1" Type="http://schemas.openxmlformats.org/officeDocument/2006/relationships/hyperlink" Target="https://doi.org/10.1021/es025643o" TargetMode="External"/><Relationship Id="rId6" Type="http://schemas.openxmlformats.org/officeDocument/2006/relationships/drawing" Target="../drawings/drawing23.xml"/><Relationship Id="rId5" Type="http://schemas.openxmlformats.org/officeDocument/2006/relationships/printerSettings" Target="../printerSettings/printerSettings35.bin"/><Relationship Id="rId4" Type="http://schemas.openxmlformats.org/officeDocument/2006/relationships/hyperlink" Target="https://doi.org/10.1016/j.tsf.2004.02.049" TargetMode="External"/></Relationships>
</file>

<file path=xl/worksheets/_rels/sheet37.xml.rels><?xml version="1.0" encoding="UTF-8" standalone="yes"?>
<Relationships xmlns="http://schemas.openxmlformats.org/package/2006/relationships"><Relationship Id="rId3" Type="http://schemas.openxmlformats.org/officeDocument/2006/relationships/drawing" Target="../drawings/drawing24.xml"/><Relationship Id="rId2" Type="http://schemas.openxmlformats.org/officeDocument/2006/relationships/printerSettings" Target="../printerSettings/printerSettings36.bin"/><Relationship Id="rId1" Type="http://schemas.openxmlformats.org/officeDocument/2006/relationships/hyperlink" Target="https://doi.org/10.1021/es903297k" TargetMode="Externa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37.bin"/></Relationships>
</file>

<file path=xl/worksheets/_rels/sheet39.xml.rels><?xml version="1.0" encoding="UTF-8" standalone="yes"?>
<Relationships xmlns="http://schemas.openxmlformats.org/package/2006/relationships"><Relationship Id="rId1" Type="http://schemas.openxmlformats.org/officeDocument/2006/relationships/printerSettings" Target="../printerSettings/printerSettings38.bin"/></Relationships>
</file>

<file path=xl/worksheets/_rels/sheet4.xml.rels><?xml version="1.0" encoding="UTF-8" standalone="yes"?>
<Relationships xmlns="http://schemas.openxmlformats.org/package/2006/relationships"><Relationship Id="rId26" Type="http://schemas.openxmlformats.org/officeDocument/2006/relationships/hyperlink" Target="https://csr.tsmc.com/download/csr/2013_tsmc_csr/english/index.html" TargetMode="External"/><Relationship Id="rId117" Type="http://schemas.openxmlformats.org/officeDocument/2006/relationships/hyperlink" Target="https://doi.org/10.1021/es025643o" TargetMode="External"/><Relationship Id="rId21" Type="http://schemas.openxmlformats.org/officeDocument/2006/relationships/hyperlink" Target="https://csr.tsmc.com/download/csr/2018_tsmc_csr/english/pdf/e_all.pdf" TargetMode="External"/><Relationship Id="rId42" Type="http://schemas.openxmlformats.org/officeDocument/2006/relationships/hyperlink" Target="https://www.umweltbundesamt.de/publikationen/schaffung-einer-datenbasis-zur-ermittlung" TargetMode="External"/><Relationship Id="rId47" Type="http://schemas.openxmlformats.org/officeDocument/2006/relationships/hyperlink" Target="https://citeseerx.ist.psu.edu/viewdoc/download?doi=10.1.1.118.6922&amp;rep=rep1&amp;type=pdf" TargetMode="External"/><Relationship Id="rId63" Type="http://schemas.openxmlformats.org/officeDocument/2006/relationships/hyperlink" Target="https://citeseerx.ist.psu.edu/viewdoc/download?doi=10.1.1.118.6922&amp;rep=rep1&amp;type=pdf" TargetMode="External"/><Relationship Id="rId68" Type="http://schemas.openxmlformats.org/officeDocument/2006/relationships/hyperlink" Target="https://citeseerx.ist.psu.edu/viewdoc/download?doi=10.1.1.118.6922&amp;rep=rep1&amp;type=pdf" TargetMode="External"/><Relationship Id="rId84" Type="http://schemas.openxmlformats.org/officeDocument/2006/relationships/hyperlink" Target="https://citeseerx.ist.psu.edu/viewdoc/download?doi=10.1.1.118.6922&amp;rep=rep1&amp;type=pdf" TargetMode="External"/><Relationship Id="rId89" Type="http://schemas.openxmlformats.org/officeDocument/2006/relationships/hyperlink" Target="https://ieeexplore.ieee.org/document/9372004/" TargetMode="External"/><Relationship Id="rId112" Type="http://schemas.openxmlformats.org/officeDocument/2006/relationships/hyperlink" Target="https://eps.ieee.org/images/files/Roadmap/ITRSESH2015.pdf" TargetMode="External"/><Relationship Id="rId133" Type="http://schemas.openxmlformats.org/officeDocument/2006/relationships/hyperlink" Target="https://gabi.sphera.com/international/databases/gabi-databases/electronics/" TargetMode="External"/><Relationship Id="rId16" Type="http://schemas.openxmlformats.org/officeDocument/2006/relationships/hyperlink" Target="https://www.umc.com/upload/media/07_Sustainability/72_Reports_and_Results/1_Corporate_Sustainability_Reports/CSR_Reports/CS_Report_English_pdf/2016_CSR_report_eng_all.pdf" TargetMode="External"/><Relationship Id="rId107" Type="http://schemas.openxmlformats.org/officeDocument/2006/relationships/hyperlink" Target="https://gf.com/sites/default/files/gf-2016-csr-report-12-21-16.pdf" TargetMode="External"/><Relationship Id="rId11" Type="http://schemas.openxmlformats.org/officeDocument/2006/relationships/hyperlink" Target="https://eps.ieee.org/images/files/Roadmap/ITRSESH2015.pdf" TargetMode="External"/><Relationship Id="rId32" Type="http://schemas.openxmlformats.org/officeDocument/2006/relationships/hyperlink" Target="https://www.st.com/content/ccc/resource/corporate/financial/quarterly_report/group0/8b/57/65/59/08/d7/48/fc/ST_Sustainability_Report_2017/files/ST_Sustainability_Report_2017.pdf/_jcr_content/translations/en.ST_Sustainability_Report_2017.pdf" TargetMode="External"/><Relationship Id="rId37" Type="http://schemas.openxmlformats.org/officeDocument/2006/relationships/hyperlink" Target="https://www.st.com/content/ccc/resource/corporate/financial/quarterly_report/a4/bb/ea/fb/e6/8a/46/0f/cr11.pdf/files/cr11.pdf/_jcr_content/translations/en.cr11.pdf" TargetMode="External"/><Relationship Id="rId53" Type="http://schemas.openxmlformats.org/officeDocument/2006/relationships/hyperlink" Target="https://citeseerx.ist.psu.edu/viewdoc/download?doi=10.1.1.118.6922&amp;rep=rep1&amp;type=pdf" TargetMode="External"/><Relationship Id="rId58" Type="http://schemas.openxmlformats.org/officeDocument/2006/relationships/hyperlink" Target="https://citeseerx.ist.psu.edu/viewdoc/download?doi=10.1.1.118.6922&amp;rep=rep1&amp;type=pdf" TargetMode="External"/><Relationship Id="rId74" Type="http://schemas.openxmlformats.org/officeDocument/2006/relationships/hyperlink" Target="https://citeseerx.ist.psu.edu/viewdoc/download?doi=10.1.1.118.6922&amp;rep=rep1&amp;type=pdf" TargetMode="External"/><Relationship Id="rId79" Type="http://schemas.openxmlformats.org/officeDocument/2006/relationships/hyperlink" Target="https://citeseerx.ist.psu.edu/viewdoc/download?doi=10.1.1.118.6922&amp;rep=rep1&amp;type=pdf" TargetMode="External"/><Relationship Id="rId102" Type="http://schemas.openxmlformats.org/officeDocument/2006/relationships/hyperlink" Target="https://gf.com/sites/default/files/gf_crr19_0808_final_2.pdf" TargetMode="External"/><Relationship Id="rId123" Type="http://schemas.openxmlformats.org/officeDocument/2006/relationships/hyperlink" Target="https://gabi.sphera.com/international/databases/gabi-databases/electronics/" TargetMode="External"/><Relationship Id="rId128" Type="http://schemas.openxmlformats.org/officeDocument/2006/relationships/hyperlink" Target="https://gabi.sphera.com/international/databases/gabi-databases/electronics/" TargetMode="External"/><Relationship Id="rId5" Type="http://schemas.openxmlformats.org/officeDocument/2006/relationships/hyperlink" Target="https://eps.ieee.org/images/files/Roadmap/ITRSESH2015.pdf" TargetMode="External"/><Relationship Id="rId90" Type="http://schemas.openxmlformats.org/officeDocument/2006/relationships/hyperlink" Target="https://ieeexplore.ieee.org/document/9372004/" TargetMode="External"/><Relationship Id="rId95" Type="http://schemas.openxmlformats.org/officeDocument/2006/relationships/hyperlink" Target="https://doi.org/10.1021/es025643o" TargetMode="External"/><Relationship Id="rId14" Type="http://schemas.openxmlformats.org/officeDocument/2006/relationships/hyperlink" Target="https://www.umc.com/upload/media/07_Sustainability/72_Reports_and_Results/1_Corporate_Sustainability_Reports/CSR_Reports/CS_Report_English_pdf/2018_CSR_report_eng_all.pdf" TargetMode="External"/><Relationship Id="rId22" Type="http://schemas.openxmlformats.org/officeDocument/2006/relationships/hyperlink" Target="https://csr.tsmc.com/download/csr/2015_tsmc_csr/english/index.html" TargetMode="External"/><Relationship Id="rId27" Type="http://schemas.openxmlformats.org/officeDocument/2006/relationships/hyperlink" Target="https://csr.tsmc.com/download/csr/2012_tsmc_csr/tsmc-e.html" TargetMode="External"/><Relationship Id="rId30" Type="http://schemas.openxmlformats.org/officeDocument/2006/relationships/hyperlink" Target="https://www.st.com/content/ccc/resource/corporate/financial/quarterly_report/group0/ed/d9/47/32/a4/d6/42/01/ST_Sustainability_Report_2019/files/ST_Sustainability_Report_2019.pdf/jcr:content/translations/en.ST_Sustainability_Report_2019.pdf" TargetMode="External"/><Relationship Id="rId35" Type="http://schemas.openxmlformats.org/officeDocument/2006/relationships/hyperlink" Target="https://www.st.com/content/ccc/resource/corporate/financial/quarterly_report/b9/93/95/97/e7/4b/4a/c9/ST_sustainability_report_2013.pdf/files/ST_sustainability_report_2013.pdf/_jcr_content/translations/en.ST_sustainability_report_2013.pdf" TargetMode="External"/><Relationship Id="rId43" Type="http://schemas.openxmlformats.org/officeDocument/2006/relationships/hyperlink" Target="https://doi.org/10.1021/es025643o" TargetMode="External"/><Relationship Id="rId48" Type="http://schemas.openxmlformats.org/officeDocument/2006/relationships/hyperlink" Target="https://citeseerx.ist.psu.edu/viewdoc/download?doi=10.1.1.118.6922&amp;rep=rep1&amp;type=pdf" TargetMode="External"/><Relationship Id="rId56" Type="http://schemas.openxmlformats.org/officeDocument/2006/relationships/hyperlink" Target="https://citeseerx.ist.psu.edu/viewdoc/download?doi=10.1.1.118.6922&amp;rep=rep1&amp;type=pdf" TargetMode="External"/><Relationship Id="rId64" Type="http://schemas.openxmlformats.org/officeDocument/2006/relationships/hyperlink" Target="https://citeseerx.ist.psu.edu/viewdoc/download?doi=10.1.1.118.6922&amp;rep=rep1&amp;type=pdf" TargetMode="External"/><Relationship Id="rId69" Type="http://schemas.openxmlformats.org/officeDocument/2006/relationships/hyperlink" Target="https://citeseerx.ist.psu.edu/viewdoc/download?doi=10.1.1.118.6922&amp;rep=rep1&amp;type=pdf" TargetMode="External"/><Relationship Id="rId77" Type="http://schemas.openxmlformats.org/officeDocument/2006/relationships/hyperlink" Target="https://citeseerx.ist.psu.edu/viewdoc/download?doi=10.1.1.118.6922&amp;rep=rep1&amp;type=pdf" TargetMode="External"/><Relationship Id="rId100" Type="http://schemas.openxmlformats.org/officeDocument/2006/relationships/hyperlink" Target="https://www.smics.com/uploads/2016_SMIC_CSR_Report.pdf" TargetMode="External"/><Relationship Id="rId105" Type="http://schemas.openxmlformats.org/officeDocument/2006/relationships/hyperlink" Target="https://gf.com/sites/default/files/gf-2016-csr-report-12-21-16.pdf" TargetMode="External"/><Relationship Id="rId113" Type="http://schemas.openxmlformats.org/officeDocument/2006/relationships/hyperlink" Target="https://eps.ieee.org/images/files/Roadmap/ITRSESH2015.pdf" TargetMode="External"/><Relationship Id="rId118" Type="http://schemas.openxmlformats.org/officeDocument/2006/relationships/hyperlink" Target="http://hdl.handle.net/1721.1/46056" TargetMode="External"/><Relationship Id="rId126" Type="http://schemas.openxmlformats.org/officeDocument/2006/relationships/hyperlink" Target="https://gabi.sphera.com/international/databases/gabi-databases/electronics/" TargetMode="External"/><Relationship Id="rId134" Type="http://schemas.openxmlformats.org/officeDocument/2006/relationships/printerSettings" Target="../printerSettings/printerSettings3.bin"/><Relationship Id="rId8" Type="http://schemas.openxmlformats.org/officeDocument/2006/relationships/hyperlink" Target="https://eps.ieee.org/images/files/Roadmap/ITRSESH2015.pdf" TargetMode="External"/><Relationship Id="rId51" Type="http://schemas.openxmlformats.org/officeDocument/2006/relationships/hyperlink" Target="https://citeseerx.ist.psu.edu/viewdoc/download?doi=10.1.1.118.6922&amp;rep=rep1&amp;type=pdf" TargetMode="External"/><Relationship Id="rId72" Type="http://schemas.openxmlformats.org/officeDocument/2006/relationships/hyperlink" Target="https://citeseerx.ist.psu.edu/viewdoc/download?doi=10.1.1.118.6922&amp;rep=rep1&amp;type=pdf" TargetMode="External"/><Relationship Id="rId80" Type="http://schemas.openxmlformats.org/officeDocument/2006/relationships/hyperlink" Target="https://citeseerx.ist.psu.edu/viewdoc/download?doi=10.1.1.118.6922&amp;rep=rep1&amp;type=pdf" TargetMode="External"/><Relationship Id="rId85" Type="http://schemas.openxmlformats.org/officeDocument/2006/relationships/hyperlink" Target="https://citeseerx.ist.psu.edu/viewdoc/download?doi=10.1.1.118.6922&amp;rep=rep1&amp;type=pdf" TargetMode="External"/><Relationship Id="rId93" Type="http://schemas.openxmlformats.org/officeDocument/2006/relationships/hyperlink" Target="https://ieeexplore.ieee.org/document/9372004/" TargetMode="External"/><Relationship Id="rId98" Type="http://schemas.openxmlformats.org/officeDocument/2006/relationships/hyperlink" Target="https://www.smics.com/uploads/2018%20CSR%20Report-EN.pdf" TargetMode="External"/><Relationship Id="rId121" Type="http://schemas.openxmlformats.org/officeDocument/2006/relationships/hyperlink" Target="http://hdl.handle.net/1721.1/46056" TargetMode="External"/><Relationship Id="rId3" Type="http://schemas.openxmlformats.org/officeDocument/2006/relationships/hyperlink" Target="https://eps.ieee.org/images/files/Roadmap/ITRSESH2015.pdf" TargetMode="External"/><Relationship Id="rId12" Type="http://schemas.openxmlformats.org/officeDocument/2006/relationships/hyperlink" Target="https://eps.ieee.org/images/files/Roadmap/ITRSESH2015.pdf" TargetMode="External"/><Relationship Id="rId17" Type="http://schemas.openxmlformats.org/officeDocument/2006/relationships/hyperlink" Target="https://www.umc.com/upload/media/07_Sustainability/72_Reports_and_Results/1_Corporate_Sustainability_Reports/CSR_Reports/CS_Report_English_pdf/2015_CSR_report_eng_all.pdf" TargetMode="External"/><Relationship Id="rId25" Type="http://schemas.openxmlformats.org/officeDocument/2006/relationships/hyperlink" Target="https://csr.tsmc.com/download/csr/2014_tsmc_csr/english/index.html" TargetMode="External"/><Relationship Id="rId33" Type="http://schemas.openxmlformats.org/officeDocument/2006/relationships/hyperlink" Target="https://www.st.com/content/ccc/resource/corporate/financial/quarterly_report/group0/8b/a2/52/e4/63/84/47/27/Sustainability%20Report%202015/files/cr15.pdf/_jcr_content/translations/en.cr15.pdf" TargetMode="External"/><Relationship Id="rId38"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46" Type="http://schemas.openxmlformats.org/officeDocument/2006/relationships/hyperlink" Target="https://citeseerx.ist.psu.edu/viewdoc/download?doi=10.1.1.118.6922&amp;rep=rep1&amp;type=pdf" TargetMode="External"/><Relationship Id="rId59" Type="http://schemas.openxmlformats.org/officeDocument/2006/relationships/hyperlink" Target="https://citeseerx.ist.psu.edu/viewdoc/download?doi=10.1.1.118.6922&amp;rep=rep1&amp;type=pdf" TargetMode="External"/><Relationship Id="rId67" Type="http://schemas.openxmlformats.org/officeDocument/2006/relationships/hyperlink" Target="https://citeseerx.ist.psu.edu/viewdoc/download?doi=10.1.1.118.6922&amp;rep=rep1&amp;type=pdf" TargetMode="External"/><Relationship Id="rId103" Type="http://schemas.openxmlformats.org/officeDocument/2006/relationships/hyperlink" Target="https://gf.com/sites/default/files/gf_crr18_1219a.pdf" TargetMode="External"/><Relationship Id="rId108" Type="http://schemas.openxmlformats.org/officeDocument/2006/relationships/hyperlink" Target="https://gf.com/sites/default/files/globalfoundries-corporate-responsibility-report-9-23-final.pdf" TargetMode="External"/><Relationship Id="rId116" Type="http://schemas.openxmlformats.org/officeDocument/2006/relationships/hyperlink" Target="https://doi.org/10.1021/es025643o" TargetMode="External"/><Relationship Id="rId124" Type="http://schemas.openxmlformats.org/officeDocument/2006/relationships/hyperlink" Target="https://gabi.sphera.com/international/databases/gabi-databases/electronics/" TargetMode="External"/><Relationship Id="rId129" Type="http://schemas.openxmlformats.org/officeDocument/2006/relationships/hyperlink" Target="https://gabi.sphera.com/international/databases/gabi-databases/electronics/" TargetMode="External"/><Relationship Id="rId20" Type="http://schemas.openxmlformats.org/officeDocument/2006/relationships/hyperlink" Target="https://csr.tsmc.com/download/csr/2018_tsmc_csr_report_published_May_2019/english/pdf/e_all.pdf" TargetMode="External"/><Relationship Id="rId41" Type="http://schemas.openxmlformats.org/officeDocument/2006/relationships/hyperlink" Target="https://doi.org/10.1021/es025643o" TargetMode="External"/><Relationship Id="rId54" Type="http://schemas.openxmlformats.org/officeDocument/2006/relationships/hyperlink" Target="https://citeseerx.ist.psu.edu/viewdoc/download?doi=10.1.1.118.6922&amp;rep=rep1&amp;type=pdf" TargetMode="External"/><Relationship Id="rId62" Type="http://schemas.openxmlformats.org/officeDocument/2006/relationships/hyperlink" Target="https://citeseerx.ist.psu.edu/viewdoc/download?doi=10.1.1.118.6922&amp;rep=rep1&amp;type=pdf" TargetMode="External"/><Relationship Id="rId70" Type="http://schemas.openxmlformats.org/officeDocument/2006/relationships/hyperlink" Target="https://citeseerx.ist.psu.edu/viewdoc/download?doi=10.1.1.118.6922&amp;rep=rep1&amp;type=pdf" TargetMode="External"/><Relationship Id="rId75" Type="http://schemas.openxmlformats.org/officeDocument/2006/relationships/hyperlink" Target="https://citeseerx.ist.psu.edu/viewdoc/download?doi=10.1.1.118.6922&amp;rep=rep1&amp;type=pdf" TargetMode="External"/><Relationship Id="rId83" Type="http://schemas.openxmlformats.org/officeDocument/2006/relationships/hyperlink" Target="https://citeseerx.ist.psu.edu/viewdoc/download?doi=10.1.1.118.6922&amp;rep=rep1&amp;type=pdf" TargetMode="External"/><Relationship Id="rId88" Type="http://schemas.openxmlformats.org/officeDocument/2006/relationships/hyperlink" Target="https://ieeexplore.ieee.org/document/9372004/" TargetMode="External"/><Relationship Id="rId91" Type="http://schemas.openxmlformats.org/officeDocument/2006/relationships/hyperlink" Target="https://ieeexplore.ieee.org/document/9372004/" TargetMode="External"/><Relationship Id="rId96" Type="http://schemas.openxmlformats.org/officeDocument/2006/relationships/hyperlink" Target="https://www.smics.com/uploads/1_&amp;e4&amp;b8&amp;ad&amp;e8&amp;8a&amp;af&amp;e5&amp;9b&amp;bd&amp;e9&amp;99&amp;85&amp;e7&amp;a4&amp;be&amp;e4&amp;bc&amp;9a&amp;e8&amp;b4&amp;a3&amp;e4&amp;bb&amp;bb&amp;e6&amp;8a&amp;a5&amp;e5&amp;91&amp;8a-&amp;e8&amp;8b&amp;b1&amp;e6&amp;96&amp;87&amp;e6&amp;8c&amp;82&amp;e7&amp;bd&amp;91&amp;e7&amp;89&amp;887.26-5.pdf" TargetMode="External"/><Relationship Id="rId111" Type="http://schemas.openxmlformats.org/officeDocument/2006/relationships/hyperlink" Target="https://eps.ieee.org/images/files/Roadmap/ITRSESH2015.pdf" TargetMode="External"/><Relationship Id="rId132" Type="http://schemas.openxmlformats.org/officeDocument/2006/relationships/hyperlink" Target="https://gabi.sphera.com/international/databases/gabi-databases/electronics/" TargetMode="External"/><Relationship Id="rId1" Type="http://schemas.openxmlformats.org/officeDocument/2006/relationships/hyperlink" Target="https://eps.ieee.org/images/files/Roadmap/ITRSESH2015.pdf" TargetMode="External"/><Relationship Id="rId6" Type="http://schemas.openxmlformats.org/officeDocument/2006/relationships/hyperlink" Target="https://eps.ieee.org/images/files/Roadmap/ITRSESH2015.pdf" TargetMode="External"/><Relationship Id="rId15" Type="http://schemas.openxmlformats.org/officeDocument/2006/relationships/hyperlink" Target="https://www.umc.com/upload/media/07_Sustainability/72_Reports_and_Results/1_Corporate_Sustainability_Reports/CSR_Reports/CS_Report_English_pdf/2017_CSR_report_eng_all.pdf" TargetMode="External"/><Relationship Id="rId23" Type="http://schemas.openxmlformats.org/officeDocument/2006/relationships/hyperlink" Target="https://csr.tsmc.com/download/csr/2017_tsmc_csr/english/pdf/e_all.pdf" TargetMode="External"/><Relationship Id="rId28" Type="http://schemas.openxmlformats.org/officeDocument/2006/relationships/hyperlink" Target="https://csr.tsmc.com/download/csr/2011_tsmc_csr_e/tsmc-e.html" TargetMode="External"/><Relationship Id="rId36" Type="http://schemas.openxmlformats.org/officeDocument/2006/relationships/hyperlink" Target="https://www.st.com/content/ccc/resource/corporate/financial/quarterly_report/cb/63/3a/fd/90/ae/4b/46/cr12.pdf/files/cr12.pdf/_jcr_content/translations/en.cr12.pdf" TargetMode="External"/><Relationship Id="rId49" Type="http://schemas.openxmlformats.org/officeDocument/2006/relationships/hyperlink" Target="https://citeseerx.ist.psu.edu/viewdoc/download?doi=10.1.1.118.6922&amp;rep=rep1&amp;type=pdf" TargetMode="External"/><Relationship Id="rId57" Type="http://schemas.openxmlformats.org/officeDocument/2006/relationships/hyperlink" Target="https://citeseerx.ist.psu.edu/viewdoc/download?doi=10.1.1.118.6922&amp;rep=rep1&amp;type=pdf" TargetMode="External"/><Relationship Id="rId106" Type="http://schemas.openxmlformats.org/officeDocument/2006/relationships/hyperlink" Target="https://gf.com/sites/default/files/globalfoundries-corporate-responsibility-report-9-23-final.pdf" TargetMode="External"/><Relationship Id="rId114" Type="http://schemas.openxmlformats.org/officeDocument/2006/relationships/hyperlink" Target="https://eps.ieee.org/images/files/Roadmap/ITRSESH2015.pdf" TargetMode="External"/><Relationship Id="rId119" Type="http://schemas.openxmlformats.org/officeDocument/2006/relationships/hyperlink" Target="http://hdl.handle.net/1721.1/46056" TargetMode="External"/><Relationship Id="rId127" Type="http://schemas.openxmlformats.org/officeDocument/2006/relationships/hyperlink" Target="https://gabi.sphera.com/international/databases/gabi-databases/electronics/" TargetMode="External"/><Relationship Id="rId10" Type="http://schemas.openxmlformats.org/officeDocument/2006/relationships/hyperlink" Target="https://eps.ieee.org/images/files/Roadmap/ITRSESH2015.pdf" TargetMode="External"/><Relationship Id="rId31" Type="http://schemas.openxmlformats.org/officeDocument/2006/relationships/hyperlink" Target="https://www.st.com/content/ccc/resource/corporate/financial/quarterly_report/group0/66/45/58/d7/6a/4e/49/98/ST_Sustainability_Report_2018/files/ST_Sustainability_Report_2018.pdf/_jcr_content/translations/en.ST_Sustainability_Report_2018.pdf" TargetMode="External"/><Relationship Id="rId44" Type="http://schemas.openxmlformats.org/officeDocument/2006/relationships/hyperlink" Target="https://citeseerx.ist.psu.edu/viewdoc/download?doi=10.1.1.118.6922&amp;rep=rep1&amp;type=pdf" TargetMode="External"/><Relationship Id="rId52" Type="http://schemas.openxmlformats.org/officeDocument/2006/relationships/hyperlink" Target="https://citeseerx.ist.psu.edu/viewdoc/download?doi=10.1.1.118.6922&amp;rep=rep1&amp;type=pdf" TargetMode="External"/><Relationship Id="rId60" Type="http://schemas.openxmlformats.org/officeDocument/2006/relationships/hyperlink" Target="https://citeseerx.ist.psu.edu/viewdoc/download?doi=10.1.1.118.6922&amp;rep=rep1&amp;type=pdf" TargetMode="External"/><Relationship Id="rId65" Type="http://schemas.openxmlformats.org/officeDocument/2006/relationships/hyperlink" Target="https://citeseerx.ist.psu.edu/viewdoc/download?doi=10.1.1.118.6922&amp;rep=rep1&amp;type=pdf" TargetMode="External"/><Relationship Id="rId73" Type="http://schemas.openxmlformats.org/officeDocument/2006/relationships/hyperlink" Target="https://citeseerx.ist.psu.edu/viewdoc/download?doi=10.1.1.118.6922&amp;rep=rep1&amp;type=pdf" TargetMode="External"/><Relationship Id="rId78" Type="http://schemas.openxmlformats.org/officeDocument/2006/relationships/hyperlink" Target="https://citeseerx.ist.psu.edu/viewdoc/download?doi=10.1.1.118.6922&amp;rep=rep1&amp;type=pdf" TargetMode="External"/><Relationship Id="rId81" Type="http://schemas.openxmlformats.org/officeDocument/2006/relationships/hyperlink" Target="https://citeseerx.ist.psu.edu/viewdoc/download?doi=10.1.1.118.6922&amp;rep=rep1&amp;type=pdf" TargetMode="External"/><Relationship Id="rId86" Type="http://schemas.openxmlformats.org/officeDocument/2006/relationships/hyperlink" Target="https://ieeexplore.ieee.org/document/9372004/" TargetMode="External"/><Relationship Id="rId94" Type="http://schemas.openxmlformats.org/officeDocument/2006/relationships/hyperlink" Target="https://ieeexplore.ieee.org/document/9372004/" TargetMode="External"/><Relationship Id="rId99" Type="http://schemas.openxmlformats.org/officeDocument/2006/relationships/hyperlink" Target="https://www.smics.com/uploads/2017%20SMIC%20CSR%20Report%20_EN.pdf" TargetMode="External"/><Relationship Id="rId101" Type="http://schemas.openxmlformats.org/officeDocument/2006/relationships/hyperlink" Target="https://www.globalfoundries.com/sites/default/files/2021-01/gf_2020_csr_report.pdf" TargetMode="External"/><Relationship Id="rId122" Type="http://schemas.openxmlformats.org/officeDocument/2006/relationships/hyperlink" Target="https://gabi.sphera.com/international/databases/gabi-databases/electronics/" TargetMode="External"/><Relationship Id="rId130" Type="http://schemas.openxmlformats.org/officeDocument/2006/relationships/hyperlink" Target="https://gabi.sphera.com/international/databases/gabi-databases/electronics/" TargetMode="External"/><Relationship Id="rId4" Type="http://schemas.openxmlformats.org/officeDocument/2006/relationships/hyperlink" Target="https://eps.ieee.org/images/files/Roadmap/ITRSESH2015.pdf" TargetMode="External"/><Relationship Id="rId9" Type="http://schemas.openxmlformats.org/officeDocument/2006/relationships/hyperlink" Target="https://eps.ieee.org/images/files/Roadmap/ITRSESH2015.pdf" TargetMode="External"/><Relationship Id="rId13" Type="http://schemas.openxmlformats.org/officeDocument/2006/relationships/hyperlink" Target="https://www.umc.com/upload/media/07_Sustainability/72_Reports_and_Results/1_Corporate_Sustainability_Reports/CSR_Reports/CS_Report_English_pdf/2019_CSR_report_eng/2019_CSR_report_eng_all.pdf" TargetMode="External"/><Relationship Id="rId18" Type="http://schemas.openxmlformats.org/officeDocument/2006/relationships/hyperlink" Target="https://www.umc.com/upload/media/07_Sustainability/72_Reports_and_Results/1_Corporate_Sustainability_Reports/CSR_Reports/CS_Report_English_pdf/2014_CSR_report_eng_all.pdf" TargetMode="External"/><Relationship Id="rId39"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109" Type="http://schemas.openxmlformats.org/officeDocument/2006/relationships/hyperlink" Target="https://gf.com/sites/default/files/2012-corporate-responsibility-report.pdf" TargetMode="External"/><Relationship Id="rId34" Type="http://schemas.openxmlformats.org/officeDocument/2006/relationships/hyperlink" Target="https://www.st.com/content/ccc/resource/corporate/financial/quarterly_report/10/d8/a7/80/66/69/47/c4/ST_sustainability_report_2014.pdf/files/ST_sustainability_report_2014.pdf/_jcr_content/translations/en.ST_sustainability_report_2014.pdf" TargetMode="External"/><Relationship Id="rId50" Type="http://schemas.openxmlformats.org/officeDocument/2006/relationships/hyperlink" Target="https://citeseerx.ist.psu.edu/viewdoc/download?doi=10.1.1.118.6922&amp;rep=rep1&amp;type=pdf" TargetMode="External"/><Relationship Id="rId55" Type="http://schemas.openxmlformats.org/officeDocument/2006/relationships/hyperlink" Target="https://citeseerx.ist.psu.edu/viewdoc/download?doi=10.1.1.118.6922&amp;rep=rep1&amp;type=pdf" TargetMode="External"/><Relationship Id="rId76" Type="http://schemas.openxmlformats.org/officeDocument/2006/relationships/hyperlink" Target="https://citeseerx.ist.psu.edu/viewdoc/download?doi=10.1.1.118.6922&amp;rep=rep1&amp;type=pdf" TargetMode="External"/><Relationship Id="rId97" Type="http://schemas.openxmlformats.org/officeDocument/2006/relationships/hyperlink" Target="https://www.smics.com/uploads/2019%20SMIC%20CSR%20Report%20Final-&amp;e8&amp;8b&amp;b1&amp;e6&amp;96&amp;87.pdf" TargetMode="External"/><Relationship Id="rId104" Type="http://schemas.openxmlformats.org/officeDocument/2006/relationships/hyperlink" Target="https://gf.com/sites/default/files/globalfoundries-2017-csr-report-final.pdf" TargetMode="External"/><Relationship Id="rId120" Type="http://schemas.openxmlformats.org/officeDocument/2006/relationships/hyperlink" Target="http://hdl.handle.net/1721.1/46056" TargetMode="External"/><Relationship Id="rId125" Type="http://schemas.openxmlformats.org/officeDocument/2006/relationships/hyperlink" Target="https://gabi.sphera.com/international/databases/gabi-databases/electronics/" TargetMode="External"/><Relationship Id="rId7" Type="http://schemas.openxmlformats.org/officeDocument/2006/relationships/hyperlink" Target="https://eps.ieee.org/images/files/Roadmap/ITRSESH2015.pdf" TargetMode="External"/><Relationship Id="rId71" Type="http://schemas.openxmlformats.org/officeDocument/2006/relationships/hyperlink" Target="https://citeseerx.ist.psu.edu/viewdoc/download?doi=10.1.1.118.6922&amp;rep=rep1&amp;type=pdf" TargetMode="External"/><Relationship Id="rId92" Type="http://schemas.openxmlformats.org/officeDocument/2006/relationships/hyperlink" Target="https://ieeexplore.ieee.org/document/9372004/" TargetMode="External"/><Relationship Id="rId2" Type="http://schemas.openxmlformats.org/officeDocument/2006/relationships/hyperlink" Target="https://eps.ieee.org/images/files/Roadmap/ITRSESH2015.pdf" TargetMode="External"/><Relationship Id="rId29" Type="http://schemas.openxmlformats.org/officeDocument/2006/relationships/hyperlink" Target="https://www.st.com/content/ccc/resource/corporate/financial/quarterly_report/group0/e0/41/12/97/a9/d0/46/a0/ST_Sustainability_Report_2020/files/ST_Sustainability_Report_2020.pdf/jcr:content/translations/en.ST_Sustainability_Report_2020.pdf" TargetMode="External"/><Relationship Id="rId24" Type="http://schemas.openxmlformats.org/officeDocument/2006/relationships/hyperlink" Target="https://csr.tsmc.com/download/csr/2016_tsmc_csr/english/index.html" TargetMode="External"/><Relationship Id="rId40" Type="http://schemas.openxmlformats.org/officeDocument/2006/relationships/hyperlink" Target="https://esg.tsmc.com/download/csr/2019-csr-report/english/pdf/e-all.pdf" TargetMode="External"/><Relationship Id="rId45" Type="http://schemas.openxmlformats.org/officeDocument/2006/relationships/hyperlink" Target="https://citeseerx.ist.psu.edu/viewdoc/download?doi=10.1.1.118.6922&amp;rep=rep1&amp;type=pdf" TargetMode="External"/><Relationship Id="rId66" Type="http://schemas.openxmlformats.org/officeDocument/2006/relationships/hyperlink" Target="https://citeseerx.ist.psu.edu/viewdoc/download?doi=10.1.1.118.6922&amp;rep=rep1&amp;type=pdf" TargetMode="External"/><Relationship Id="rId87" Type="http://schemas.openxmlformats.org/officeDocument/2006/relationships/hyperlink" Target="https://ieeexplore.ieee.org/document/9372004/" TargetMode="External"/><Relationship Id="rId110" Type="http://schemas.openxmlformats.org/officeDocument/2006/relationships/hyperlink" Target="https://gf.com/sites/default/files/2012-corporate-responsibility-report.pdf" TargetMode="External"/><Relationship Id="rId115" Type="http://schemas.openxmlformats.org/officeDocument/2006/relationships/hyperlink" Target="https://doi.org/10.1021/es025643o" TargetMode="External"/><Relationship Id="rId131" Type="http://schemas.openxmlformats.org/officeDocument/2006/relationships/hyperlink" Target="https://gabi.sphera.com/international/databases/gabi-databases/electronics/" TargetMode="External"/><Relationship Id="rId61" Type="http://schemas.openxmlformats.org/officeDocument/2006/relationships/hyperlink" Target="https://citeseerx.ist.psu.edu/viewdoc/download?doi=10.1.1.118.6922&amp;rep=rep1&amp;type=pdf" TargetMode="External"/><Relationship Id="rId82" Type="http://schemas.openxmlformats.org/officeDocument/2006/relationships/hyperlink" Target="https://citeseerx.ist.psu.edu/viewdoc/download?doi=10.1.1.118.6922&amp;rep=rep1&amp;type=pdf" TargetMode="External"/><Relationship Id="rId19" Type="http://schemas.openxmlformats.org/officeDocument/2006/relationships/hyperlink" Target="https://esg.tsmc.com/download/csr/2019-csr-report/english/pdf/e-all.pdf" TargetMode="External"/></Relationships>
</file>

<file path=xl/worksheets/_rels/sheet40.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39.bin"/><Relationship Id="rId1" Type="http://schemas.openxmlformats.org/officeDocument/2006/relationships/hyperlink" Target="https://doi.org/10.1109/IEDM13553.2020.9372004" TargetMode="External"/><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ourworldindata.org/grapher/carbon-intensity-electricity?tab=chart&amp;time=earliest..latest&amp;region=World" TargetMode="External"/><Relationship Id="rId1" Type="http://schemas.openxmlformats.org/officeDocument/2006/relationships/hyperlink" Target="https://ec.europa.eu/energy/sites/ener/files/documents/final_report_pef_eed.pdf" TargetMode="External"/><Relationship Id="rId4"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v35.ecoquery.ecoinvent.org/Details/UPR/fee4fec6-157c-4e9c-b991-31b43a881e41/8b738ea0-f89e-4627-8679-433616064e82" TargetMode="External"/><Relationship Id="rId1" Type="http://schemas.openxmlformats.org/officeDocument/2006/relationships/hyperlink" Target="https://doi.org/10.1016/j.eiar.2020.106416"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09C5FC-9630-42FA-BB4F-6ECA4A6C657B}">
  <sheetPr>
    <tabColor rgb="FF70AD47"/>
  </sheetPr>
  <dimension ref="A1:AI38"/>
  <sheetViews>
    <sheetView tabSelected="1" topLeftCell="B1" zoomScale="70" zoomScaleNormal="70" workbookViewId="0">
      <selection activeCell="M17" sqref="M17"/>
    </sheetView>
  </sheetViews>
  <sheetFormatPr defaultColWidth="10.875" defaultRowHeight="15.75" x14ac:dyDescent="0.25"/>
  <cols>
    <col min="1" max="1" width="3.125" style="43" customWidth="1"/>
    <col min="2" max="2" width="15.75" style="2" customWidth="1"/>
    <col min="3" max="6" width="15" style="2" customWidth="1"/>
    <col min="7" max="21" width="25.875" style="3" customWidth="1"/>
    <col min="22" max="22" width="42.75" style="4" customWidth="1"/>
    <col min="23" max="23" width="9" style="2"/>
    <col min="24" max="24" width="56.625" style="2" customWidth="1"/>
    <col min="25" max="25" width="30.875" style="2" customWidth="1"/>
    <col min="26" max="16384" width="10.875" style="2"/>
  </cols>
  <sheetData>
    <row r="1" spans="2:35" s="43" customFormat="1" x14ac:dyDescent="0.25">
      <c r="G1" s="42"/>
      <c r="H1" s="42"/>
      <c r="I1" s="42"/>
      <c r="J1" s="42"/>
      <c r="K1" s="42"/>
      <c r="L1" s="42"/>
      <c r="M1" s="42"/>
      <c r="N1" s="42"/>
      <c r="O1" s="42"/>
      <c r="P1" s="42"/>
      <c r="Q1" s="42"/>
      <c r="R1" s="42"/>
      <c r="S1" s="42"/>
      <c r="T1" s="42"/>
      <c r="U1" s="42"/>
      <c r="V1" s="72"/>
    </row>
    <row r="2" spans="2:35" ht="36.950000000000003" customHeight="1" x14ac:dyDescent="0.25">
      <c r="B2" s="380" t="s">
        <v>0</v>
      </c>
      <c r="C2" s="380"/>
      <c r="D2" s="380"/>
      <c r="E2" s="380"/>
      <c r="F2" s="380"/>
      <c r="G2" s="380"/>
      <c r="H2" s="380"/>
      <c r="I2" s="380"/>
      <c r="J2" s="380"/>
      <c r="K2" s="380"/>
      <c r="L2" s="380"/>
      <c r="M2" s="380"/>
      <c r="N2" s="380"/>
      <c r="O2" s="380"/>
      <c r="P2" s="380"/>
      <c r="Q2" s="380"/>
      <c r="R2" s="380"/>
      <c r="S2" s="380"/>
      <c r="T2" s="380"/>
      <c r="U2" s="380"/>
      <c r="V2" s="380"/>
      <c r="W2" s="380"/>
      <c r="X2" s="1"/>
      <c r="Y2" s="1"/>
      <c r="Z2" s="1"/>
      <c r="AA2" s="1"/>
      <c r="AB2" s="1"/>
      <c r="AC2" s="1"/>
      <c r="AD2" s="1"/>
      <c r="AE2" s="1"/>
      <c r="AF2" s="1"/>
      <c r="AG2" s="1"/>
      <c r="AH2" s="1"/>
      <c r="AI2" s="1"/>
    </row>
    <row r="3" spans="2:35" s="43" customFormat="1" x14ac:dyDescent="0.25">
      <c r="B3" s="42"/>
      <c r="C3" s="42"/>
      <c r="D3" s="42"/>
      <c r="E3" s="42"/>
      <c r="F3" s="42"/>
      <c r="G3" s="42"/>
      <c r="H3" s="42"/>
      <c r="I3" s="42"/>
      <c r="J3" s="42"/>
      <c r="K3" s="42"/>
      <c r="L3" s="42"/>
      <c r="M3" s="42"/>
      <c r="N3" s="42"/>
      <c r="O3" s="42"/>
      <c r="P3" s="42"/>
      <c r="Q3" s="42"/>
      <c r="R3" s="42"/>
      <c r="S3" s="42"/>
      <c r="T3" s="42"/>
      <c r="U3" s="42"/>
      <c r="V3" s="73"/>
      <c r="W3" s="42"/>
    </row>
    <row r="4" spans="2:35" ht="35.25" customHeight="1" x14ac:dyDescent="0.25">
      <c r="B4" s="75" t="s">
        <v>1</v>
      </c>
      <c r="C4" s="75" t="s">
        <v>2</v>
      </c>
      <c r="D4" s="75" t="s">
        <v>3</v>
      </c>
      <c r="E4" s="75" t="s">
        <v>4</v>
      </c>
      <c r="F4" s="75" t="s">
        <v>5</v>
      </c>
      <c r="G4" s="381" t="s">
        <v>6</v>
      </c>
      <c r="H4" s="382"/>
      <c r="I4" s="382"/>
      <c r="J4" s="382"/>
      <c r="K4" s="382"/>
      <c r="L4" s="382"/>
      <c r="M4" s="382"/>
      <c r="N4" s="382"/>
      <c r="O4" s="382"/>
      <c r="P4" s="382"/>
      <c r="Q4" s="382"/>
      <c r="R4" s="382"/>
      <c r="S4" s="382"/>
      <c r="T4" s="382"/>
      <c r="U4" s="383"/>
      <c r="V4" s="76" t="s">
        <v>7</v>
      </c>
      <c r="W4" s="42"/>
      <c r="X4" s="43"/>
      <c r="Y4" s="43"/>
      <c r="Z4" s="43"/>
      <c r="AA4" s="43"/>
      <c r="AB4" s="43"/>
      <c r="AC4" s="43"/>
    </row>
    <row r="5" spans="2:35" ht="70.5" customHeight="1" x14ac:dyDescent="0.25">
      <c r="B5" s="8"/>
      <c r="C5" s="8"/>
      <c r="D5" s="8"/>
      <c r="E5" s="8"/>
      <c r="F5" s="77" t="s">
        <v>8</v>
      </c>
      <c r="G5" s="77" t="s">
        <v>9</v>
      </c>
      <c r="H5" s="77" t="s">
        <v>10</v>
      </c>
      <c r="I5" s="77" t="s">
        <v>11</v>
      </c>
      <c r="J5" s="77" t="s">
        <v>12</v>
      </c>
      <c r="K5" s="77" t="s">
        <v>13</v>
      </c>
      <c r="L5" s="77" t="s">
        <v>14</v>
      </c>
      <c r="M5" s="77" t="s">
        <v>15</v>
      </c>
      <c r="N5" s="77" t="s">
        <v>16</v>
      </c>
      <c r="O5" s="77" t="s">
        <v>17</v>
      </c>
      <c r="P5" s="77" t="s">
        <v>18</v>
      </c>
      <c r="Q5" s="77" t="s">
        <v>19</v>
      </c>
      <c r="R5" s="77" t="s">
        <v>20</v>
      </c>
      <c r="S5" s="77" t="s">
        <v>21</v>
      </c>
      <c r="T5" s="77" t="s">
        <v>22</v>
      </c>
      <c r="U5" s="77" t="s">
        <v>23</v>
      </c>
      <c r="V5" s="9"/>
      <c r="W5" s="42"/>
      <c r="X5" s="43"/>
      <c r="Y5" s="43"/>
      <c r="Z5" s="43"/>
      <c r="AA5" s="43"/>
      <c r="AB5" s="43"/>
      <c r="AC5" s="43"/>
    </row>
    <row r="6" spans="2:35" s="43" customFormat="1" ht="105.75" customHeight="1" x14ac:dyDescent="0.25">
      <c r="B6" s="43" t="s">
        <v>24</v>
      </c>
      <c r="C6" s="43" t="s">
        <v>25</v>
      </c>
      <c r="D6" s="43" t="s">
        <v>26</v>
      </c>
      <c r="E6" s="43" t="s">
        <v>27</v>
      </c>
      <c r="F6" s="43" t="s">
        <v>28</v>
      </c>
      <c r="G6" s="42" t="s">
        <v>29</v>
      </c>
      <c r="H6" s="42" t="s">
        <v>30</v>
      </c>
      <c r="I6" s="42" t="s">
        <v>31</v>
      </c>
      <c r="J6" s="42" t="s">
        <v>32</v>
      </c>
      <c r="K6" s="42" t="s">
        <v>33</v>
      </c>
      <c r="L6" s="42" t="s">
        <v>34</v>
      </c>
      <c r="M6" s="42" t="s">
        <v>35</v>
      </c>
      <c r="N6" s="42" t="s">
        <v>36</v>
      </c>
      <c r="O6" s="42" t="s">
        <v>37</v>
      </c>
      <c r="P6" s="42" t="s">
        <v>38</v>
      </c>
      <c r="Q6" s="42" t="s">
        <v>39</v>
      </c>
      <c r="R6" s="42" t="s">
        <v>40</v>
      </c>
      <c r="S6" s="42" t="s">
        <v>41</v>
      </c>
      <c r="T6" s="42" t="s">
        <v>42</v>
      </c>
      <c r="U6" s="42" t="s">
        <v>43</v>
      </c>
      <c r="V6" s="74" t="s">
        <v>44</v>
      </c>
    </row>
    <row r="7" spans="2:35" s="132" customFormat="1" ht="8.25" customHeight="1" x14ac:dyDescent="0.25">
      <c r="G7" s="133"/>
      <c r="H7" s="133"/>
      <c r="I7" s="133"/>
      <c r="J7" s="133"/>
      <c r="K7" s="133"/>
      <c r="L7" s="133"/>
      <c r="M7" s="133"/>
      <c r="N7" s="133"/>
      <c r="O7" s="133"/>
      <c r="P7" s="133"/>
      <c r="Q7" s="133"/>
      <c r="R7" s="133"/>
      <c r="S7" s="133"/>
      <c r="T7" s="133"/>
      <c r="U7" s="133"/>
      <c r="V7" s="134"/>
    </row>
    <row r="8" spans="2:35" s="43" customFormat="1" x14ac:dyDescent="0.25">
      <c r="F8" s="43" t="s">
        <v>45</v>
      </c>
      <c r="G8" s="42" t="s">
        <v>46</v>
      </c>
      <c r="H8" s="42" t="s">
        <v>47</v>
      </c>
      <c r="I8" s="42" t="s">
        <v>47</v>
      </c>
      <c r="J8" s="89">
        <v>350</v>
      </c>
      <c r="K8" s="42">
        <v>300</v>
      </c>
      <c r="L8" s="42" t="s">
        <v>47</v>
      </c>
      <c r="M8" s="42" t="s">
        <v>47</v>
      </c>
      <c r="N8" s="42" t="s">
        <v>47</v>
      </c>
      <c r="O8" s="42" t="s">
        <v>48</v>
      </c>
      <c r="P8" s="42" t="s">
        <v>49</v>
      </c>
      <c r="Q8" s="42" t="s">
        <v>50</v>
      </c>
      <c r="R8" s="42" t="s">
        <v>47</v>
      </c>
      <c r="S8" s="42" t="s">
        <v>47</v>
      </c>
      <c r="T8" s="42" t="s">
        <v>47</v>
      </c>
      <c r="U8" s="42" t="s">
        <v>47</v>
      </c>
    </row>
    <row r="9" spans="2:35" s="43" customFormat="1" x14ac:dyDescent="0.25">
      <c r="F9" s="43" t="s">
        <v>51</v>
      </c>
      <c r="G9" s="42" t="s">
        <v>52</v>
      </c>
      <c r="H9" s="42" t="s">
        <v>53</v>
      </c>
      <c r="I9" s="42" t="s">
        <v>53</v>
      </c>
      <c r="J9" s="89">
        <v>250</v>
      </c>
      <c r="K9" s="42">
        <v>200</v>
      </c>
      <c r="L9" s="42" t="s">
        <v>53</v>
      </c>
      <c r="M9" s="42" t="s">
        <v>53</v>
      </c>
      <c r="N9" s="42" t="s">
        <v>53</v>
      </c>
      <c r="O9" s="42" t="s">
        <v>54</v>
      </c>
      <c r="P9" s="42" t="s">
        <v>55</v>
      </c>
      <c r="Q9" s="42" t="s">
        <v>56</v>
      </c>
      <c r="R9" s="42" t="s">
        <v>53</v>
      </c>
      <c r="S9" s="42" t="s">
        <v>53</v>
      </c>
      <c r="T9" s="42" t="s">
        <v>53</v>
      </c>
      <c r="U9" s="42" t="s">
        <v>53</v>
      </c>
      <c r="V9" s="72"/>
    </row>
    <row r="10" spans="2:35" s="43" customFormat="1" x14ac:dyDescent="0.25">
      <c r="F10" s="43" t="s">
        <v>57</v>
      </c>
      <c r="G10" s="41" t="s">
        <v>58</v>
      </c>
      <c r="H10" s="41"/>
      <c r="I10" s="41"/>
      <c r="J10" s="89">
        <v>180</v>
      </c>
      <c r="K10" s="41">
        <v>150</v>
      </c>
      <c r="L10" s="41"/>
      <c r="M10" s="41"/>
      <c r="N10" s="41"/>
      <c r="O10" s="42" t="s">
        <v>59</v>
      </c>
      <c r="P10" s="42" t="s">
        <v>60</v>
      </c>
      <c r="Q10" s="41" t="s">
        <v>61</v>
      </c>
      <c r="R10" s="41" t="s">
        <v>58</v>
      </c>
      <c r="S10" s="41"/>
      <c r="T10" s="41"/>
      <c r="U10" s="41"/>
      <c r="V10" s="72"/>
    </row>
    <row r="11" spans="2:35" s="43" customFormat="1" x14ac:dyDescent="0.25">
      <c r="F11" s="43" t="s">
        <v>62</v>
      </c>
      <c r="G11" s="42"/>
      <c r="H11" s="42"/>
      <c r="I11" s="42"/>
      <c r="J11" s="89">
        <v>130</v>
      </c>
      <c r="K11" s="42" t="s">
        <v>58</v>
      </c>
      <c r="L11" s="42"/>
      <c r="M11" s="42"/>
      <c r="N11" s="42"/>
      <c r="O11" s="42" t="s">
        <v>63</v>
      </c>
      <c r="P11" s="42"/>
      <c r="Q11" s="42"/>
      <c r="R11" s="42"/>
      <c r="S11" s="42"/>
      <c r="T11" s="42"/>
      <c r="U11" s="42"/>
      <c r="V11" s="72"/>
    </row>
    <row r="12" spans="2:35" s="43" customFormat="1" x14ac:dyDescent="0.25">
      <c r="G12" s="42"/>
      <c r="H12" s="42"/>
      <c r="I12" s="42"/>
      <c r="J12" s="89">
        <v>90</v>
      </c>
      <c r="K12" s="42"/>
      <c r="L12" s="42"/>
      <c r="M12" s="42"/>
      <c r="N12" s="42"/>
      <c r="O12" s="42" t="s">
        <v>64</v>
      </c>
      <c r="P12" s="42"/>
      <c r="Q12" s="42"/>
      <c r="R12" s="42"/>
      <c r="S12" s="42"/>
      <c r="T12" s="42"/>
      <c r="U12" s="42"/>
      <c r="V12" s="72"/>
    </row>
    <row r="13" spans="2:35" s="43" customFormat="1" x14ac:dyDescent="0.25">
      <c r="G13" s="42"/>
      <c r="H13" s="42"/>
      <c r="I13" s="42"/>
      <c r="J13" s="89">
        <v>65</v>
      </c>
      <c r="K13" s="42"/>
      <c r="L13" s="42"/>
      <c r="M13" s="42"/>
      <c r="N13" s="42"/>
      <c r="O13" s="42" t="s">
        <v>65</v>
      </c>
      <c r="P13" s="42"/>
      <c r="Q13" s="42"/>
      <c r="R13" s="42"/>
      <c r="S13" s="42"/>
      <c r="T13" s="42"/>
      <c r="U13" s="42"/>
      <c r="V13" s="72"/>
    </row>
    <row r="14" spans="2:35" s="43" customFormat="1" x14ac:dyDescent="0.25">
      <c r="G14" s="42"/>
      <c r="H14" s="42"/>
      <c r="I14" s="42"/>
      <c r="J14" s="89">
        <v>60</v>
      </c>
      <c r="K14" s="42"/>
      <c r="L14" s="42"/>
      <c r="M14" s="42"/>
      <c r="N14" s="42"/>
      <c r="O14" s="42" t="s">
        <v>66</v>
      </c>
      <c r="P14" s="42"/>
      <c r="Q14" s="42"/>
      <c r="R14" s="42"/>
      <c r="S14" s="42"/>
      <c r="T14" s="42"/>
      <c r="U14" s="42"/>
      <c r="V14" s="72"/>
    </row>
    <row r="15" spans="2:35" s="43" customFormat="1" x14ac:dyDescent="0.25">
      <c r="G15" s="42"/>
      <c r="H15" s="42"/>
      <c r="I15" s="42"/>
      <c r="J15" s="42">
        <v>57</v>
      </c>
      <c r="K15" s="42"/>
      <c r="L15" s="42"/>
      <c r="M15" s="42"/>
      <c r="N15" s="42"/>
      <c r="O15" s="42"/>
      <c r="P15" s="42"/>
      <c r="Q15" s="42"/>
      <c r="R15" s="42"/>
      <c r="S15" s="42"/>
      <c r="T15" s="42"/>
      <c r="U15" s="42"/>
      <c r="V15" s="72"/>
    </row>
    <row r="16" spans="2:35" s="43" customFormat="1" x14ac:dyDescent="0.25">
      <c r="G16" s="42"/>
      <c r="H16" s="42"/>
      <c r="I16" s="42"/>
      <c r="J16" s="89">
        <v>45</v>
      </c>
      <c r="K16" s="42"/>
      <c r="L16" s="42"/>
      <c r="M16" s="42"/>
      <c r="N16" s="42"/>
      <c r="O16" s="42"/>
      <c r="P16" s="42"/>
      <c r="Q16" s="42"/>
      <c r="R16" s="42"/>
      <c r="S16" s="42"/>
      <c r="T16" s="42"/>
      <c r="U16" s="42"/>
      <c r="V16" s="72"/>
    </row>
    <row r="17" spans="7:22" s="43" customFormat="1" x14ac:dyDescent="0.25">
      <c r="G17" s="42"/>
      <c r="H17" s="42"/>
      <c r="I17" s="42"/>
      <c r="J17" s="89">
        <v>32</v>
      </c>
      <c r="K17" s="42"/>
      <c r="L17" s="42"/>
      <c r="M17" s="42"/>
      <c r="N17" s="42"/>
      <c r="O17" s="42"/>
      <c r="P17" s="42"/>
      <c r="Q17" s="42"/>
      <c r="R17" s="42"/>
      <c r="S17" s="42"/>
      <c r="T17" s="42"/>
      <c r="U17" s="42"/>
      <c r="V17" s="72"/>
    </row>
    <row r="18" spans="7:22" s="43" customFormat="1" x14ac:dyDescent="0.25">
      <c r="G18" s="42"/>
      <c r="H18" s="42"/>
      <c r="I18" s="42"/>
      <c r="J18" s="90">
        <v>28</v>
      </c>
      <c r="K18" s="42"/>
      <c r="L18" s="42"/>
      <c r="M18" s="42"/>
      <c r="N18" s="42"/>
      <c r="O18" s="42"/>
      <c r="P18" s="42"/>
      <c r="Q18" s="42"/>
      <c r="R18" s="42"/>
      <c r="S18" s="42"/>
      <c r="T18" s="42"/>
      <c r="U18" s="42"/>
      <c r="V18" s="72"/>
    </row>
    <row r="19" spans="7:22" s="43" customFormat="1" x14ac:dyDescent="0.25">
      <c r="G19" s="42"/>
      <c r="H19" s="42"/>
      <c r="I19" s="42"/>
      <c r="J19" s="42">
        <v>22</v>
      </c>
      <c r="K19" s="42"/>
      <c r="L19" s="42"/>
      <c r="M19" s="42"/>
      <c r="N19" s="42"/>
      <c r="O19" s="42"/>
      <c r="P19" s="42"/>
      <c r="Q19" s="42"/>
      <c r="R19" s="42"/>
      <c r="S19" s="42"/>
      <c r="T19" s="42"/>
      <c r="U19" s="42"/>
      <c r="V19" s="72"/>
    </row>
    <row r="20" spans="7:22" s="43" customFormat="1" x14ac:dyDescent="0.25">
      <c r="G20" s="42"/>
      <c r="H20" s="42"/>
      <c r="I20" s="42"/>
      <c r="J20" s="90">
        <v>20</v>
      </c>
      <c r="K20" s="42"/>
      <c r="L20" s="42"/>
      <c r="M20" s="42"/>
      <c r="N20" s="42"/>
      <c r="O20" s="42"/>
      <c r="P20" s="42"/>
      <c r="Q20" s="42"/>
      <c r="R20" s="42"/>
      <c r="S20" s="42"/>
      <c r="T20" s="42"/>
      <c r="U20" s="42"/>
      <c r="V20" s="72"/>
    </row>
    <row r="21" spans="7:22" s="43" customFormat="1" x14ac:dyDescent="0.25">
      <c r="G21" s="42"/>
      <c r="H21" s="42"/>
      <c r="I21" s="42"/>
      <c r="J21" s="90">
        <v>14</v>
      </c>
      <c r="K21" s="42"/>
      <c r="L21" s="42"/>
      <c r="M21" s="42"/>
      <c r="N21" s="42"/>
      <c r="O21" s="42"/>
      <c r="P21" s="42"/>
      <c r="Q21" s="42"/>
      <c r="R21" s="42"/>
      <c r="S21" s="42"/>
      <c r="T21" s="42"/>
      <c r="U21" s="42"/>
      <c r="V21" s="72"/>
    </row>
    <row r="22" spans="7:22" s="43" customFormat="1" x14ac:dyDescent="0.25">
      <c r="G22" s="42"/>
      <c r="H22" s="42"/>
      <c r="I22" s="42"/>
      <c r="J22" s="90">
        <v>10</v>
      </c>
      <c r="K22" s="42"/>
      <c r="L22" s="42"/>
      <c r="M22" s="42"/>
      <c r="N22" s="42"/>
      <c r="O22" s="42"/>
      <c r="P22" s="42"/>
      <c r="Q22" s="42"/>
      <c r="R22" s="42"/>
      <c r="S22" s="42"/>
      <c r="T22" s="42"/>
      <c r="U22" s="42"/>
      <c r="V22" s="72"/>
    </row>
    <row r="23" spans="7:22" s="43" customFormat="1" x14ac:dyDescent="0.25">
      <c r="G23" s="42"/>
      <c r="H23" s="42"/>
      <c r="I23" s="42"/>
      <c r="J23" s="90">
        <v>8</v>
      </c>
      <c r="K23" s="42"/>
      <c r="L23" s="42"/>
      <c r="M23" s="42"/>
      <c r="N23" s="42"/>
      <c r="O23" s="42"/>
      <c r="P23" s="42"/>
      <c r="Q23" s="42"/>
      <c r="R23" s="42"/>
      <c r="S23" s="42"/>
      <c r="T23" s="42"/>
      <c r="U23" s="42"/>
      <c r="V23" s="72"/>
    </row>
    <row r="24" spans="7:22" s="43" customFormat="1" x14ac:dyDescent="0.25">
      <c r="G24" s="42"/>
      <c r="H24" s="42"/>
      <c r="I24" s="42"/>
      <c r="J24" s="90">
        <v>7</v>
      </c>
      <c r="K24" s="42"/>
      <c r="L24" s="42"/>
      <c r="M24" s="42"/>
      <c r="N24" s="42"/>
      <c r="O24" s="42"/>
      <c r="P24" s="42"/>
      <c r="Q24" s="42"/>
      <c r="R24" s="42"/>
      <c r="S24" s="42"/>
      <c r="T24" s="42"/>
      <c r="U24" s="42"/>
      <c r="V24" s="72"/>
    </row>
    <row r="25" spans="7:22" s="43" customFormat="1" x14ac:dyDescent="0.25">
      <c r="G25" s="42"/>
      <c r="H25" s="42"/>
      <c r="I25" s="42"/>
      <c r="J25" s="90">
        <v>6</v>
      </c>
      <c r="K25" s="42"/>
      <c r="L25" s="42"/>
      <c r="M25" s="42"/>
      <c r="N25" s="42"/>
      <c r="O25" s="42"/>
      <c r="P25" s="42"/>
      <c r="Q25" s="42"/>
      <c r="R25" s="42"/>
      <c r="S25" s="42"/>
      <c r="T25" s="42"/>
      <c r="U25" s="42"/>
      <c r="V25" s="72"/>
    </row>
    <row r="26" spans="7:22" s="43" customFormat="1" x14ac:dyDescent="0.25">
      <c r="G26" s="42"/>
      <c r="H26" s="42"/>
      <c r="I26" s="42"/>
      <c r="J26" s="90">
        <v>5</v>
      </c>
      <c r="K26" s="42"/>
      <c r="L26" s="42"/>
      <c r="M26" s="42"/>
      <c r="N26" s="42"/>
      <c r="O26" s="42"/>
      <c r="P26" s="42"/>
      <c r="Q26" s="42"/>
      <c r="R26" s="42"/>
      <c r="S26" s="42"/>
      <c r="T26" s="42"/>
      <c r="U26" s="42"/>
      <c r="V26" s="72"/>
    </row>
    <row r="27" spans="7:22" s="43" customFormat="1" x14ac:dyDescent="0.25">
      <c r="G27" s="42"/>
      <c r="H27" s="42"/>
      <c r="I27" s="42"/>
      <c r="J27" s="90">
        <v>3</v>
      </c>
      <c r="K27" s="42"/>
      <c r="L27" s="42"/>
      <c r="M27" s="42"/>
      <c r="N27" s="42"/>
      <c r="O27" s="42"/>
      <c r="P27" s="42"/>
      <c r="Q27" s="42"/>
      <c r="R27" s="42"/>
      <c r="S27" s="42"/>
      <c r="T27" s="42"/>
      <c r="U27" s="42"/>
      <c r="V27" s="72"/>
    </row>
    <row r="28" spans="7:22" s="43" customFormat="1" x14ac:dyDescent="0.25">
      <c r="G28" s="42"/>
      <c r="H28" s="42"/>
      <c r="I28" s="42"/>
      <c r="J28" s="89" t="s">
        <v>58</v>
      </c>
      <c r="K28" s="42"/>
      <c r="L28" s="42"/>
      <c r="M28" s="42"/>
      <c r="N28" s="42"/>
      <c r="O28" s="42"/>
      <c r="P28" s="42"/>
      <c r="Q28" s="42"/>
      <c r="R28" s="42"/>
      <c r="S28" s="42"/>
      <c r="T28" s="42"/>
      <c r="U28" s="42"/>
      <c r="V28" s="72"/>
    </row>
    <row r="29" spans="7:22" s="132" customFormat="1" ht="8.25" customHeight="1" x14ac:dyDescent="0.25">
      <c r="G29" s="133"/>
      <c r="H29" s="133"/>
      <c r="I29" s="133"/>
      <c r="J29" s="133"/>
      <c r="K29" s="133"/>
      <c r="L29" s="133"/>
      <c r="M29" s="133"/>
      <c r="N29" s="133"/>
      <c r="O29" s="133"/>
      <c r="P29" s="133"/>
      <c r="Q29" s="133"/>
      <c r="R29" s="133"/>
      <c r="S29" s="133"/>
      <c r="T29" s="133"/>
      <c r="U29" s="133"/>
      <c r="V29" s="134"/>
    </row>
    <row r="30" spans="7:22" s="43" customFormat="1" x14ac:dyDescent="0.25">
      <c r="G30" s="42"/>
      <c r="H30" s="42"/>
      <c r="I30" s="42"/>
      <c r="J30" s="42"/>
      <c r="K30" s="42"/>
      <c r="L30" s="42"/>
      <c r="M30" s="42"/>
      <c r="N30" s="42"/>
      <c r="O30" s="42"/>
      <c r="P30" s="42"/>
      <c r="Q30" s="42"/>
      <c r="R30" s="42"/>
      <c r="S30" s="42"/>
      <c r="T30" s="42"/>
      <c r="U30" s="42"/>
      <c r="V30" s="72"/>
    </row>
    <row r="31" spans="7:22" s="43" customFormat="1" x14ac:dyDescent="0.25">
      <c r="G31" s="42"/>
      <c r="H31" s="42"/>
      <c r="I31" s="42"/>
      <c r="J31" s="42"/>
      <c r="K31" s="42"/>
      <c r="L31" s="42"/>
      <c r="M31" s="42"/>
      <c r="N31" s="42"/>
      <c r="O31" s="42"/>
      <c r="P31" s="42"/>
      <c r="Q31" s="42"/>
      <c r="R31" s="42"/>
      <c r="S31" s="42"/>
      <c r="T31" s="42"/>
      <c r="U31" s="42"/>
      <c r="V31" s="72"/>
    </row>
    <row r="32" spans="7:22" s="43" customFormat="1" x14ac:dyDescent="0.25">
      <c r="G32" s="42"/>
      <c r="H32" s="42"/>
      <c r="I32" s="42"/>
      <c r="J32" s="42"/>
      <c r="K32" s="42"/>
      <c r="L32" s="42"/>
      <c r="M32" s="42"/>
      <c r="N32" s="42"/>
      <c r="O32" s="42"/>
      <c r="P32" s="42"/>
      <c r="Q32" s="42"/>
      <c r="R32" s="42"/>
      <c r="S32" s="42"/>
      <c r="T32" s="42"/>
      <c r="U32" s="42"/>
      <c r="V32" s="72"/>
    </row>
    <row r="33" spans="7:22" s="43" customFormat="1" x14ac:dyDescent="0.25">
      <c r="G33" s="42"/>
      <c r="H33" s="42"/>
      <c r="I33" s="42"/>
      <c r="J33" s="42"/>
      <c r="K33" s="42"/>
      <c r="L33" s="42"/>
      <c r="M33" s="42"/>
      <c r="N33" s="42"/>
      <c r="O33" s="42"/>
      <c r="P33" s="42"/>
      <c r="Q33" s="42"/>
      <c r="R33" s="42"/>
      <c r="S33" s="42"/>
      <c r="T33" s="42"/>
      <c r="U33" s="42"/>
      <c r="V33" s="72"/>
    </row>
    <row r="34" spans="7:22" s="43" customFormat="1" x14ac:dyDescent="0.25">
      <c r="G34" s="42"/>
      <c r="H34" s="42"/>
      <c r="I34" s="42"/>
      <c r="J34" s="42"/>
      <c r="K34" s="42"/>
      <c r="L34" s="42"/>
      <c r="M34" s="42"/>
      <c r="N34" s="42"/>
      <c r="O34" s="42"/>
      <c r="P34" s="42"/>
      <c r="Q34" s="42"/>
      <c r="R34" s="42"/>
      <c r="S34" s="42"/>
      <c r="T34" s="42"/>
      <c r="U34" s="42"/>
      <c r="V34" s="72"/>
    </row>
    <row r="35" spans="7:22" s="43" customFormat="1" x14ac:dyDescent="0.25">
      <c r="G35" s="42"/>
      <c r="H35" s="42"/>
      <c r="I35" s="42"/>
      <c r="J35" s="42"/>
      <c r="K35" s="42"/>
      <c r="L35" s="42"/>
      <c r="M35" s="42"/>
      <c r="N35" s="42"/>
      <c r="O35" s="42"/>
      <c r="P35" s="42"/>
      <c r="Q35" s="42"/>
      <c r="R35" s="42"/>
      <c r="S35" s="42"/>
      <c r="T35" s="42"/>
      <c r="U35" s="42"/>
      <c r="V35" s="72"/>
    </row>
    <row r="36" spans="7:22" s="43" customFormat="1" x14ac:dyDescent="0.25">
      <c r="G36" s="42"/>
      <c r="H36" s="42"/>
      <c r="I36" s="42"/>
      <c r="J36" s="42"/>
      <c r="K36" s="42"/>
      <c r="L36" s="42"/>
      <c r="M36" s="42"/>
      <c r="N36" s="42"/>
      <c r="O36" s="42"/>
      <c r="P36" s="42"/>
      <c r="Q36" s="42"/>
      <c r="R36" s="42"/>
      <c r="S36" s="42"/>
      <c r="T36" s="42"/>
      <c r="U36" s="42"/>
      <c r="V36" s="72"/>
    </row>
    <row r="37" spans="7:22" s="43" customFormat="1" x14ac:dyDescent="0.25">
      <c r="G37" s="42"/>
      <c r="H37" s="42"/>
      <c r="I37" s="42"/>
      <c r="J37" s="42"/>
      <c r="K37" s="42"/>
      <c r="L37" s="42"/>
      <c r="M37" s="42"/>
      <c r="N37" s="42"/>
      <c r="O37" s="42"/>
      <c r="P37" s="42"/>
      <c r="Q37" s="42"/>
      <c r="R37" s="42"/>
      <c r="S37" s="42"/>
      <c r="T37" s="42"/>
      <c r="U37" s="42"/>
      <c r="V37" s="72"/>
    </row>
    <row r="38" spans="7:22" s="43" customFormat="1" x14ac:dyDescent="0.25">
      <c r="G38" s="42"/>
      <c r="H38" s="42"/>
      <c r="I38" s="42"/>
      <c r="J38" s="42"/>
      <c r="K38" s="42"/>
      <c r="L38" s="42"/>
      <c r="M38" s="42"/>
      <c r="N38" s="42"/>
      <c r="O38" s="42"/>
      <c r="P38" s="42"/>
      <c r="Q38" s="42"/>
      <c r="R38" s="42"/>
      <c r="S38" s="42"/>
      <c r="T38" s="42"/>
      <c r="U38" s="42"/>
      <c r="V38" s="72"/>
    </row>
  </sheetData>
  <mergeCells count="2">
    <mergeCell ref="B2:W2"/>
    <mergeCell ref="G4:U4"/>
  </mergeCells>
  <pageMargins left="0.7" right="0.7" top="0.75" bottom="0.75" header="0.3" footer="0.3"/>
  <pageSetup paperSize="9"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AAE3FC-EFB6-4255-B5D4-471347F56262}">
  <sheetPr>
    <tabColor rgb="FF44546A"/>
  </sheetPr>
  <dimension ref="B2:BD55"/>
  <sheetViews>
    <sheetView topLeftCell="B1" workbookViewId="0">
      <selection activeCell="W4" sqref="W4"/>
    </sheetView>
  </sheetViews>
  <sheetFormatPr defaultRowHeight="15.75" x14ac:dyDescent="0.25"/>
  <cols>
    <col min="2" max="2" width="39.375" customWidth="1"/>
    <col min="3" max="3" width="7.375" customWidth="1"/>
  </cols>
  <sheetData>
    <row r="2" spans="2:56" x14ac:dyDescent="0.25">
      <c r="B2" s="48" t="s">
        <v>600</v>
      </c>
      <c r="D2" s="237" t="s">
        <v>507</v>
      </c>
      <c r="E2" t="s">
        <v>601</v>
      </c>
      <c r="K2" s="384" t="s">
        <v>602</v>
      </c>
      <c r="L2" s="384"/>
      <c r="M2" s="384"/>
      <c r="N2" s="384"/>
      <c r="O2" s="384"/>
      <c r="P2" s="384"/>
      <c r="Q2" s="384"/>
      <c r="R2" s="384"/>
      <c r="S2" s="384"/>
      <c r="T2" s="384"/>
      <c r="U2" s="384"/>
      <c r="V2" s="384"/>
    </row>
    <row r="3" spans="2:56" x14ac:dyDescent="0.25">
      <c r="B3" s="49" t="s">
        <v>603</v>
      </c>
      <c r="K3" s="384"/>
      <c r="L3" s="384"/>
      <c r="M3" s="384"/>
      <c r="N3" s="384"/>
      <c r="O3" s="384"/>
      <c r="P3" s="384"/>
      <c r="Q3" s="384"/>
      <c r="R3" s="384"/>
      <c r="S3" s="384"/>
      <c r="T3" s="384"/>
      <c r="U3" s="384"/>
      <c r="V3" s="384"/>
    </row>
    <row r="4" spans="2:56" x14ac:dyDescent="0.25">
      <c r="B4" s="50" t="s">
        <v>604</v>
      </c>
      <c r="D4" s="10" t="s">
        <v>605</v>
      </c>
    </row>
    <row r="5" spans="2:56" x14ac:dyDescent="0.25">
      <c r="D5" s="395" t="s">
        <v>606</v>
      </c>
      <c r="E5" s="395"/>
      <c r="F5" s="395"/>
      <c r="G5" s="395"/>
      <c r="H5" s="395"/>
      <c r="I5" s="395"/>
      <c r="J5" s="395"/>
      <c r="K5" s="395"/>
      <c r="L5" s="395"/>
      <c r="M5" s="395"/>
      <c r="N5" s="395"/>
      <c r="O5" s="395"/>
      <c r="P5" s="395"/>
      <c r="Q5" s="395"/>
      <c r="R5" s="395"/>
      <c r="S5" s="395"/>
      <c r="T5" s="395"/>
      <c r="U5" s="395"/>
      <c r="V5" s="395"/>
      <c r="X5" s="395" t="s">
        <v>607</v>
      </c>
      <c r="Y5" s="395"/>
      <c r="Z5" s="395"/>
      <c r="AA5" s="395"/>
      <c r="AB5" s="395"/>
      <c r="AC5" s="395"/>
      <c r="AD5" s="395"/>
      <c r="AE5" s="395"/>
      <c r="AF5" s="395"/>
      <c r="AG5" s="395"/>
      <c r="AH5" s="395"/>
      <c r="AI5" s="395"/>
      <c r="AJ5" s="395"/>
      <c r="AK5" s="395"/>
      <c r="AL5" s="395"/>
      <c r="AM5" s="395"/>
      <c r="AN5" s="395"/>
      <c r="AO5" s="395"/>
      <c r="AP5" s="395"/>
      <c r="AR5" s="395" t="s">
        <v>608</v>
      </c>
      <c r="AS5" s="395"/>
      <c r="AT5" s="395"/>
      <c r="AU5" s="395"/>
      <c r="AV5" s="395"/>
      <c r="AW5" s="395"/>
      <c r="AY5" s="395" t="s">
        <v>608</v>
      </c>
      <c r="AZ5" s="395"/>
      <c r="BA5" s="395"/>
      <c r="BB5" s="395"/>
      <c r="BC5" s="395"/>
      <c r="BD5" s="395"/>
    </row>
    <row r="6" spans="2:56" x14ac:dyDescent="0.25">
      <c r="B6" s="239" t="s">
        <v>609</v>
      </c>
      <c r="C6" s="239"/>
      <c r="D6" s="17" t="s">
        <v>610</v>
      </c>
      <c r="J6" s="17" t="s">
        <v>611</v>
      </c>
      <c r="P6" s="211" t="s">
        <v>612</v>
      </c>
      <c r="T6" s="54"/>
      <c r="U6" s="54"/>
      <c r="X6" s="45" t="s">
        <v>613</v>
      </c>
      <c r="AR6" s="17" t="s">
        <v>614</v>
      </c>
      <c r="AY6" s="17" t="s">
        <v>615</v>
      </c>
      <c r="BC6" s="54"/>
    </row>
    <row r="7" spans="2:56" s="94" customFormat="1" ht="42" customHeight="1" x14ac:dyDescent="0.25">
      <c r="B7" s="366"/>
      <c r="C7" s="366"/>
      <c r="D7" s="93"/>
      <c r="G7" s="95" t="s">
        <v>616</v>
      </c>
      <c r="J7" s="93"/>
      <c r="M7" s="95" t="s">
        <v>617</v>
      </c>
      <c r="P7" s="96"/>
      <c r="S7" s="95" t="s">
        <v>618</v>
      </c>
      <c r="T7" s="95" t="s">
        <v>619</v>
      </c>
      <c r="U7" s="95" t="s">
        <v>620</v>
      </c>
      <c r="X7" s="96"/>
      <c r="AB7" s="94" t="s">
        <v>621</v>
      </c>
      <c r="AC7" s="94" t="s">
        <v>622</v>
      </c>
      <c r="AD7"/>
      <c r="AR7" s="93"/>
      <c r="AY7" s="93"/>
      <c r="BC7" s="95" t="s">
        <v>623</v>
      </c>
    </row>
    <row r="8" spans="2:56" x14ac:dyDescent="0.25">
      <c r="B8" s="239" t="s">
        <v>624</v>
      </c>
      <c r="C8" s="239"/>
      <c r="D8" s="17"/>
      <c r="E8" t="s">
        <v>625</v>
      </c>
      <c r="F8" t="s">
        <v>626</v>
      </c>
      <c r="G8" t="s">
        <v>627</v>
      </c>
      <c r="H8" t="s">
        <v>628</v>
      </c>
      <c r="I8" t="s">
        <v>629</v>
      </c>
      <c r="J8" s="17"/>
      <c r="K8" t="s">
        <v>625</v>
      </c>
      <c r="L8" t="s">
        <v>626</v>
      </c>
      <c r="M8" t="s">
        <v>627</v>
      </c>
      <c r="N8" t="s">
        <v>628</v>
      </c>
      <c r="O8" t="s">
        <v>629</v>
      </c>
      <c r="P8" s="44"/>
      <c r="Q8" t="s">
        <v>625</v>
      </c>
      <c r="R8" t="s">
        <v>626</v>
      </c>
      <c r="S8" t="s">
        <v>627</v>
      </c>
      <c r="T8" t="s">
        <v>628</v>
      </c>
      <c r="U8" t="s">
        <v>628</v>
      </c>
      <c r="V8" t="s">
        <v>629</v>
      </c>
      <c r="X8" s="44"/>
      <c r="Y8" t="s">
        <v>625</v>
      </c>
      <c r="Z8" t="s">
        <v>626</v>
      </c>
      <c r="AA8" t="s">
        <v>627</v>
      </c>
      <c r="AB8" t="s">
        <v>628</v>
      </c>
      <c r="AC8" t="s">
        <v>628</v>
      </c>
      <c r="AD8" t="s">
        <v>629</v>
      </c>
      <c r="AR8" s="17"/>
      <c r="AS8" t="s">
        <v>625</v>
      </c>
      <c r="AT8" t="s">
        <v>626</v>
      </c>
      <c r="AU8" t="s">
        <v>627</v>
      </c>
      <c r="AV8" t="s">
        <v>628</v>
      </c>
      <c r="AW8" t="s">
        <v>629</v>
      </c>
      <c r="AY8" s="17"/>
      <c r="AZ8" t="s">
        <v>625</v>
      </c>
      <c r="BA8" t="s">
        <v>626</v>
      </c>
      <c r="BB8" t="s">
        <v>627</v>
      </c>
      <c r="BC8" t="s">
        <v>628</v>
      </c>
      <c r="BD8" t="s">
        <v>629</v>
      </c>
    </row>
    <row r="9" spans="2:56" x14ac:dyDescent="0.25">
      <c r="C9" s="239">
        <v>2001</v>
      </c>
      <c r="D9" s="17"/>
      <c r="E9">
        <f>E35*Parameters!$C$7*Parameters!$C$12</f>
        <v>5.4</v>
      </c>
      <c r="F9" s="47"/>
      <c r="G9" s="47"/>
      <c r="H9" s="47"/>
      <c r="I9" s="47"/>
      <c r="J9" s="17"/>
      <c r="K9">
        <f>K35*Parameters!$C$7*Parameters!$C$12</f>
        <v>5.4</v>
      </c>
      <c r="L9" s="47"/>
      <c r="M9" s="47"/>
      <c r="N9" s="47"/>
      <c r="O9" s="47"/>
      <c r="P9" s="44"/>
      <c r="Q9">
        <f>Q35*Parameters!$C$7*Parameters!$C$12</f>
        <v>13.5</v>
      </c>
      <c r="R9" s="47"/>
      <c r="S9" s="47"/>
      <c r="T9" s="47"/>
      <c r="U9" s="47"/>
      <c r="V9" s="47"/>
      <c r="X9" s="44"/>
      <c r="Y9">
        <f>Y35+AF35</f>
        <v>12.9</v>
      </c>
      <c r="Z9" s="47"/>
      <c r="AA9" s="47"/>
      <c r="AB9" s="47"/>
      <c r="AC9" s="47"/>
      <c r="AD9" s="47"/>
      <c r="AR9" s="17"/>
      <c r="AS9">
        <v>60</v>
      </c>
      <c r="AT9" s="47"/>
      <c r="AU9" s="47"/>
      <c r="AV9" s="47"/>
      <c r="AW9" s="47"/>
      <c r="AY9" s="17"/>
      <c r="AZ9" s="396" t="s">
        <v>630</v>
      </c>
      <c r="BA9" s="47"/>
      <c r="BB9" s="47"/>
      <c r="BC9" s="47"/>
      <c r="BD9" s="47"/>
    </row>
    <row r="10" spans="2:56" x14ac:dyDescent="0.25">
      <c r="C10" s="239">
        <v>2002</v>
      </c>
      <c r="D10" s="17"/>
      <c r="E10">
        <f>E36*Parameters!$C$7*Parameters!$C$12</f>
        <v>5.4</v>
      </c>
      <c r="F10" s="47"/>
      <c r="G10" s="47"/>
      <c r="H10" s="47"/>
      <c r="I10" s="47"/>
      <c r="J10" s="17"/>
      <c r="K10">
        <f>K36*Parameters!$C$7*Parameters!$C$12</f>
        <v>5.4</v>
      </c>
      <c r="L10" s="47"/>
      <c r="M10" s="47"/>
      <c r="N10" s="47"/>
      <c r="O10" s="47"/>
      <c r="P10" s="44"/>
      <c r="Q10">
        <f>Q36*Parameters!$C$7*Parameters!$C$12</f>
        <v>13.5</v>
      </c>
      <c r="R10" s="47"/>
      <c r="S10" s="47"/>
      <c r="T10" s="47"/>
      <c r="U10" s="47"/>
      <c r="V10" s="47"/>
      <c r="X10" s="44"/>
      <c r="Y10">
        <f t="shared" ref="Y10:AB25" si="0">Y36+AF36</f>
        <v>11.9</v>
      </c>
      <c r="Z10" s="47"/>
      <c r="AA10" s="47"/>
      <c r="AB10" s="47"/>
      <c r="AC10" s="47"/>
      <c r="AD10" s="47"/>
      <c r="AR10" s="17"/>
      <c r="AS10">
        <v>65</v>
      </c>
      <c r="AT10" s="47"/>
      <c r="AU10" s="47"/>
      <c r="AV10" s="47"/>
      <c r="AW10" s="47"/>
      <c r="AY10" s="17"/>
      <c r="AZ10" s="396"/>
      <c r="BA10" s="47"/>
      <c r="BB10" s="47"/>
      <c r="BC10" s="47"/>
      <c r="BD10" s="47"/>
    </row>
    <row r="11" spans="2:56" x14ac:dyDescent="0.25">
      <c r="C11" s="239">
        <v>2003</v>
      </c>
      <c r="D11" s="17"/>
      <c r="E11">
        <f>E37*Parameters!$C$7*Parameters!$C$12</f>
        <v>4.05</v>
      </c>
      <c r="F11">
        <f>F37*Parameters!$C$7*Parameters!$C$12</f>
        <v>5.4</v>
      </c>
      <c r="G11" s="47"/>
      <c r="H11" s="47"/>
      <c r="I11" s="47"/>
      <c r="J11" s="17"/>
      <c r="K11">
        <f>K37*Parameters!$C$7*Parameters!$C$12</f>
        <v>4.05</v>
      </c>
      <c r="L11">
        <f>L37*Parameters!$C$7*Parameters!$C$12</f>
        <v>5.4</v>
      </c>
      <c r="M11" s="47"/>
      <c r="N11" s="47"/>
      <c r="O11" s="47"/>
      <c r="P11" s="44"/>
      <c r="Q11">
        <f>Q37*Parameters!$C$7*Parameters!$C$12</f>
        <v>13.5</v>
      </c>
      <c r="R11">
        <f>R37*Parameters!$C$7*Parameters!$C$12</f>
        <v>13.5</v>
      </c>
      <c r="S11" s="47"/>
      <c r="T11" s="47"/>
      <c r="U11" s="47"/>
      <c r="V11" s="47"/>
      <c r="X11" s="44"/>
      <c r="Y11">
        <f t="shared" si="0"/>
        <v>9.5</v>
      </c>
      <c r="Z11">
        <f t="shared" si="0"/>
        <v>15</v>
      </c>
      <c r="AA11" s="47"/>
      <c r="AB11" s="47"/>
      <c r="AC11" s="47"/>
      <c r="AD11" s="47"/>
      <c r="AR11" s="17"/>
      <c r="AS11">
        <v>65</v>
      </c>
      <c r="AT11">
        <v>65</v>
      </c>
      <c r="AU11" s="47"/>
      <c r="AV11" s="47"/>
      <c r="AW11" s="47"/>
      <c r="AY11" s="17"/>
      <c r="AZ11" s="396"/>
      <c r="BA11" s="396" t="s">
        <v>630</v>
      </c>
      <c r="BB11" s="47"/>
      <c r="BC11" s="47"/>
      <c r="BD11" s="47"/>
    </row>
    <row r="12" spans="2:56" x14ac:dyDescent="0.25">
      <c r="C12" s="239">
        <v>2004</v>
      </c>
      <c r="D12" s="17"/>
      <c r="E12">
        <f>E38*Parameters!$C$7*Parameters!$C$12</f>
        <v>4.05</v>
      </c>
      <c r="F12">
        <f>F38*Parameters!$C$7*Parameters!$C$12</f>
        <v>5.4</v>
      </c>
      <c r="G12" s="47"/>
      <c r="H12" s="47"/>
      <c r="I12" s="47"/>
      <c r="J12" s="17"/>
      <c r="K12">
        <f>K38*Parameters!$C$7*Parameters!$C$12</f>
        <v>4.05</v>
      </c>
      <c r="L12">
        <f>L38*Parameters!$C$7*Parameters!$C$12</f>
        <v>5.4</v>
      </c>
      <c r="M12" s="47"/>
      <c r="N12" s="47"/>
      <c r="O12" s="47"/>
      <c r="P12" s="44"/>
      <c r="Q12">
        <f>Q38*Parameters!$C$7*Parameters!$C$12</f>
        <v>13.5</v>
      </c>
      <c r="R12">
        <f>R38*Parameters!$C$7*Parameters!$C$12</f>
        <v>13.5</v>
      </c>
      <c r="S12" s="47"/>
      <c r="T12" s="47"/>
      <c r="U12" s="47"/>
      <c r="V12" s="47"/>
      <c r="X12" s="44"/>
      <c r="Y12">
        <f t="shared" si="0"/>
        <v>9.5</v>
      </c>
      <c r="Z12">
        <f t="shared" si="0"/>
        <v>15</v>
      </c>
      <c r="AA12" s="47"/>
      <c r="AB12" s="47"/>
      <c r="AC12" s="47"/>
      <c r="AD12" s="47"/>
      <c r="AR12" s="17"/>
      <c r="AS12">
        <v>65</v>
      </c>
      <c r="AT12">
        <v>65</v>
      </c>
      <c r="AU12" s="47"/>
      <c r="AV12" s="47"/>
      <c r="AW12" s="47"/>
      <c r="AY12" s="17"/>
      <c r="AZ12" s="396"/>
      <c r="BA12" s="396"/>
      <c r="BB12" s="47"/>
      <c r="BC12" s="47"/>
      <c r="BD12" s="47"/>
    </row>
    <row r="13" spans="2:56" x14ac:dyDescent="0.25">
      <c r="C13" s="239">
        <v>2005</v>
      </c>
      <c r="D13" s="17"/>
      <c r="E13">
        <f>E39*Parameters!$C$7*Parameters!$C$12</f>
        <v>3.15</v>
      </c>
      <c r="F13">
        <f>F39*Parameters!$C$7*Parameters!$C$12</f>
        <v>5.4</v>
      </c>
      <c r="G13" s="47"/>
      <c r="H13" s="47"/>
      <c r="I13" s="47"/>
      <c r="J13" s="17"/>
      <c r="K13">
        <f>K39*Parameters!$C$7*Parameters!$C$12</f>
        <v>3.15</v>
      </c>
      <c r="L13">
        <f>L39*Parameters!$C$7*Parameters!$C$12</f>
        <v>5.4</v>
      </c>
      <c r="M13" s="47"/>
      <c r="N13" s="47"/>
      <c r="O13" s="47"/>
      <c r="P13" s="44"/>
      <c r="Q13">
        <f>Q39*Parameters!$C$7*Parameters!$C$12</f>
        <v>9</v>
      </c>
      <c r="R13">
        <f>R39*Parameters!$C$7*Parameters!$C$12</f>
        <v>9</v>
      </c>
      <c r="S13" s="47"/>
      <c r="T13" s="47"/>
      <c r="U13" s="47"/>
      <c r="V13" s="47"/>
      <c r="X13" s="44"/>
      <c r="Y13">
        <f t="shared" si="0"/>
        <v>8.5</v>
      </c>
      <c r="Z13">
        <f t="shared" si="0"/>
        <v>14</v>
      </c>
      <c r="AA13" s="47"/>
      <c r="AB13" s="47"/>
      <c r="AC13" s="47"/>
      <c r="AD13" s="47"/>
      <c r="AR13" s="17"/>
      <c r="AS13" s="46">
        <v>70</v>
      </c>
      <c r="AT13" s="46">
        <v>70</v>
      </c>
      <c r="AU13" s="47"/>
      <c r="AV13" s="47"/>
      <c r="AW13" s="47"/>
      <c r="AY13" s="17"/>
      <c r="AZ13" s="396"/>
      <c r="BA13" s="396"/>
      <c r="BB13" s="47"/>
      <c r="BC13" s="47"/>
      <c r="BD13" s="47"/>
    </row>
    <row r="14" spans="2:56" x14ac:dyDescent="0.25">
      <c r="C14" s="239">
        <v>2006</v>
      </c>
      <c r="D14" s="17"/>
      <c r="E14">
        <f>E40*Parameters!$C$7*Parameters!$C$12</f>
        <v>3.15</v>
      </c>
      <c r="F14">
        <f>F40*Parameters!$C$7*Parameters!$C$12</f>
        <v>4.05</v>
      </c>
      <c r="G14" s="47"/>
      <c r="H14" s="47"/>
      <c r="I14" s="47"/>
      <c r="J14" s="17"/>
      <c r="K14">
        <f>K40*Parameters!$C$7*Parameters!$C$12</f>
        <v>3.15</v>
      </c>
      <c r="L14">
        <f>L40*Parameters!$C$7*Parameters!$C$12</f>
        <v>4.05</v>
      </c>
      <c r="M14" s="47"/>
      <c r="N14" s="47"/>
      <c r="O14" s="47"/>
      <c r="P14" s="44"/>
      <c r="Q14">
        <f>Q40*Parameters!$C$7*Parameters!$C$12</f>
        <v>9</v>
      </c>
      <c r="R14">
        <f>R40*Parameters!$C$7*Parameters!$C$12</f>
        <v>9</v>
      </c>
      <c r="S14" s="47"/>
      <c r="T14" s="47"/>
      <c r="U14" s="47"/>
      <c r="V14" s="47"/>
      <c r="X14" s="44"/>
      <c r="Y14">
        <f t="shared" si="0"/>
        <v>8.5</v>
      </c>
      <c r="Z14">
        <f t="shared" si="0"/>
        <v>14</v>
      </c>
      <c r="AA14" s="47"/>
      <c r="AB14" s="47"/>
      <c r="AC14" s="47"/>
      <c r="AD14" s="47"/>
      <c r="AR14" s="17"/>
      <c r="AS14" s="46">
        <v>70</v>
      </c>
      <c r="AT14" s="46">
        <v>70</v>
      </c>
      <c r="AU14" s="47"/>
      <c r="AV14" s="47"/>
      <c r="AW14" s="47"/>
      <c r="AY14" s="17"/>
      <c r="AZ14" s="396"/>
      <c r="BA14" s="396"/>
      <c r="BB14" s="47"/>
      <c r="BC14" s="47"/>
      <c r="BD14" s="47"/>
    </row>
    <row r="15" spans="2:56" x14ac:dyDescent="0.25">
      <c r="C15" s="239">
        <v>2007</v>
      </c>
      <c r="D15" s="17"/>
      <c r="E15">
        <f>E41*Parameters!$C$7*Parameters!$C$12</f>
        <v>3.15</v>
      </c>
      <c r="F15">
        <f>F41*Parameters!$C$7*Parameters!$C$12</f>
        <v>4.05</v>
      </c>
      <c r="G15">
        <f>G41*Parameters!$C$7*Parameters!$C$12</f>
        <v>3.375</v>
      </c>
      <c r="H15" s="47"/>
      <c r="I15" s="47"/>
      <c r="J15" s="17"/>
      <c r="K15">
        <f>K41*Parameters!$C$7*Parameters!$C$12</f>
        <v>3.15</v>
      </c>
      <c r="L15">
        <f>L41*Parameters!$C$7*Parameters!$C$12</f>
        <v>4.05</v>
      </c>
      <c r="M15">
        <f>M41*Parameters!$C$7*Parameters!$C$12</f>
        <v>6.3</v>
      </c>
      <c r="N15" s="47"/>
      <c r="O15" s="47"/>
      <c r="P15" s="44"/>
      <c r="Q15">
        <f>Q41*Parameters!$C$7*Parameters!$C$12</f>
        <v>9</v>
      </c>
      <c r="R15">
        <f>R41*Parameters!$C$7*Parameters!$C$12</f>
        <v>9</v>
      </c>
      <c r="S15">
        <f>S41*Parameters!$C$7*Parameters!$C$12</f>
        <v>12.6</v>
      </c>
      <c r="T15" s="47"/>
      <c r="U15" s="47"/>
      <c r="V15" s="47"/>
      <c r="X15" s="44"/>
      <c r="Y15">
        <f t="shared" si="0"/>
        <v>8.5</v>
      </c>
      <c r="Z15">
        <f t="shared" si="0"/>
        <v>14</v>
      </c>
      <c r="AA15">
        <f t="shared" si="0"/>
        <v>23</v>
      </c>
      <c r="AB15" s="47"/>
      <c r="AC15" s="47"/>
      <c r="AD15" s="47"/>
      <c r="AR15" s="17"/>
      <c r="AS15" s="46">
        <v>70</v>
      </c>
      <c r="AT15" s="46">
        <v>70</v>
      </c>
      <c r="AV15" s="47"/>
      <c r="AW15" s="47"/>
      <c r="AY15" s="17"/>
      <c r="AZ15" s="396"/>
      <c r="BA15" s="396"/>
      <c r="BB15" s="396" t="s">
        <v>630</v>
      </c>
      <c r="BC15" s="47"/>
      <c r="BD15" s="47"/>
    </row>
    <row r="16" spans="2:56" x14ac:dyDescent="0.25">
      <c r="C16" s="239">
        <v>2008</v>
      </c>
      <c r="D16" s="17"/>
      <c r="F16">
        <f>F42*Parameters!$C$7*Parameters!$C$12</f>
        <v>3.15</v>
      </c>
      <c r="G16">
        <f>G42*Parameters!$C$7*Parameters!$C$12</f>
        <v>3.375</v>
      </c>
      <c r="H16" s="47"/>
      <c r="I16" s="47"/>
      <c r="J16" s="17"/>
      <c r="L16">
        <f>L42*Parameters!$C$7*Parameters!$C$12</f>
        <v>3.15</v>
      </c>
      <c r="M16">
        <f>M42*Parameters!$C$7*Parameters!$C$12</f>
        <v>6.3</v>
      </c>
      <c r="N16" s="47"/>
      <c r="O16" s="47"/>
      <c r="P16" s="44"/>
      <c r="Q16" s="10">
        <f>Q15</f>
        <v>9</v>
      </c>
      <c r="R16">
        <f>R42*Parameters!$C$7*Parameters!$C$12</f>
        <v>9</v>
      </c>
      <c r="S16">
        <f>S42*Parameters!$C$7*Parameters!$C$12</f>
        <v>12.6</v>
      </c>
      <c r="T16" s="47"/>
      <c r="U16" s="47"/>
      <c r="V16" s="47"/>
      <c r="X16" s="44"/>
      <c r="Y16" s="10">
        <f>Y15</f>
        <v>8.5</v>
      </c>
      <c r="Z16">
        <f t="shared" si="0"/>
        <v>14</v>
      </c>
      <c r="AA16">
        <f t="shared" si="0"/>
        <v>21</v>
      </c>
      <c r="AB16" s="47"/>
      <c r="AC16" s="47"/>
      <c r="AD16" s="47"/>
      <c r="AR16" s="17"/>
      <c r="AS16" s="10">
        <f>AS15</f>
        <v>70</v>
      </c>
      <c r="AT16" s="46">
        <v>70</v>
      </c>
      <c r="AV16" s="47"/>
      <c r="AW16" s="47"/>
      <c r="AY16" s="17"/>
      <c r="AZ16" s="396"/>
      <c r="BA16" s="396"/>
      <c r="BB16" s="396"/>
      <c r="BC16" s="47"/>
      <c r="BD16" s="47"/>
    </row>
    <row r="17" spans="2:56" x14ac:dyDescent="0.25">
      <c r="C17" s="239">
        <v>2009</v>
      </c>
      <c r="D17" s="17"/>
      <c r="F17">
        <f>F43*Parameters!$C$7*Parameters!$C$12</f>
        <v>3.15</v>
      </c>
      <c r="G17">
        <f>G43*Parameters!$C$7*Parameters!$C$12</f>
        <v>3.375</v>
      </c>
      <c r="H17" s="47"/>
      <c r="I17" s="47"/>
      <c r="J17" s="17"/>
      <c r="L17">
        <f>L43*Parameters!$C$7*Parameters!$C$12</f>
        <v>3.15</v>
      </c>
      <c r="M17">
        <f>M43*Parameters!$C$7*Parameters!$C$12</f>
        <v>6.3</v>
      </c>
      <c r="N17" s="47"/>
      <c r="O17" s="47"/>
      <c r="P17" s="44"/>
      <c r="Q17" s="10">
        <f>Q16</f>
        <v>9</v>
      </c>
      <c r="R17">
        <f>R43*Parameters!$C$7*Parameters!$C$12</f>
        <v>9</v>
      </c>
      <c r="S17">
        <f>S43*Parameters!$C$7*Parameters!$C$12</f>
        <v>12.6</v>
      </c>
      <c r="T17" s="47"/>
      <c r="U17" s="47"/>
      <c r="V17" s="47"/>
      <c r="X17" s="44"/>
      <c r="Y17" s="10">
        <f>Y16</f>
        <v>8.5</v>
      </c>
      <c r="Z17">
        <f t="shared" si="0"/>
        <v>14</v>
      </c>
      <c r="AA17">
        <f t="shared" si="0"/>
        <v>21</v>
      </c>
      <c r="AB17" s="47"/>
      <c r="AC17" s="47"/>
      <c r="AD17" s="47"/>
      <c r="AR17" s="17"/>
      <c r="AS17" s="10">
        <f>AS16</f>
        <v>70</v>
      </c>
      <c r="AT17" s="46">
        <v>70</v>
      </c>
      <c r="AV17" s="47"/>
      <c r="AW17" s="47"/>
      <c r="AY17" s="17"/>
      <c r="AZ17" s="396"/>
      <c r="BA17" s="396"/>
      <c r="BB17" s="396"/>
      <c r="BC17" s="47"/>
      <c r="BD17" s="47"/>
    </row>
    <row r="18" spans="2:56" x14ac:dyDescent="0.25">
      <c r="C18" s="239">
        <v>2010</v>
      </c>
      <c r="D18" s="17"/>
      <c r="E18">
        <f>E44*Parameters!$C$7*Parameters!$C$12</f>
        <v>3.15</v>
      </c>
      <c r="F18">
        <f>F44*Parameters!$C$7*Parameters!$C$12</f>
        <v>3.15</v>
      </c>
      <c r="G18">
        <f>G44*Parameters!$C$7*Parameters!$C$12</f>
        <v>2.9250000000000003</v>
      </c>
      <c r="H18" s="47"/>
      <c r="I18" s="47"/>
      <c r="J18" s="17"/>
      <c r="K18">
        <f>K44*Parameters!$C$7*Parameters!$C$12</f>
        <v>3.15</v>
      </c>
      <c r="L18">
        <f>L44*Parameters!$C$7*Parameters!$C$12</f>
        <v>3.15</v>
      </c>
      <c r="M18">
        <f>M44*Parameters!$C$7*Parameters!$C$12</f>
        <v>4.95</v>
      </c>
      <c r="N18" s="47"/>
      <c r="O18" s="47"/>
      <c r="P18" s="44"/>
      <c r="Q18">
        <f>Q44*Parameters!$C$7*Parameters!$C$12</f>
        <v>7.2</v>
      </c>
      <c r="R18">
        <f>R44*Parameters!$C$7*Parameters!$C$12</f>
        <v>7.2</v>
      </c>
      <c r="S18">
        <f>S44*Parameters!$C$7*Parameters!$C$12</f>
        <v>10.8</v>
      </c>
      <c r="T18" s="47"/>
      <c r="U18" s="47"/>
      <c r="V18" s="47"/>
      <c r="X18" s="44"/>
      <c r="Y18">
        <f t="shared" si="0"/>
        <v>7.5</v>
      </c>
      <c r="Z18">
        <f t="shared" si="0"/>
        <v>8.1</v>
      </c>
      <c r="AA18">
        <f t="shared" si="0"/>
        <v>17.5</v>
      </c>
      <c r="AB18" s="47"/>
      <c r="AC18" s="47"/>
      <c r="AD18" s="47"/>
      <c r="AR18" s="17"/>
      <c r="AS18" s="46">
        <v>80</v>
      </c>
      <c r="AT18" s="46">
        <v>80</v>
      </c>
      <c r="AV18" s="47"/>
      <c r="AW18" s="47"/>
      <c r="AY18" s="17"/>
      <c r="AZ18" s="396"/>
      <c r="BA18" s="397" t="s">
        <v>630</v>
      </c>
      <c r="BB18" s="396"/>
      <c r="BC18" s="47"/>
      <c r="BD18" s="47"/>
    </row>
    <row r="19" spans="2:56" x14ac:dyDescent="0.25">
      <c r="C19" s="239">
        <v>2011</v>
      </c>
      <c r="D19" s="17"/>
      <c r="G19">
        <f>G45*Parameters!$C$7*Parameters!$C$12</f>
        <v>2.9250000000000003</v>
      </c>
      <c r="H19" s="47"/>
      <c r="I19" s="47"/>
      <c r="J19" s="17"/>
      <c r="M19">
        <f>M45*Parameters!$C$7*Parameters!$C$12</f>
        <v>4.95</v>
      </c>
      <c r="N19" s="47"/>
      <c r="O19" s="47"/>
      <c r="P19" s="44"/>
      <c r="Q19" s="10">
        <f>Q18</f>
        <v>7.2</v>
      </c>
      <c r="S19">
        <f>S45*Parameters!$C$7*Parameters!$C$12</f>
        <v>10.8</v>
      </c>
      <c r="T19" s="47"/>
      <c r="U19" s="47"/>
      <c r="V19" s="47"/>
      <c r="X19" s="44"/>
      <c r="Y19" s="10">
        <f>Y18</f>
        <v>7.5</v>
      </c>
      <c r="Z19" s="10"/>
      <c r="AA19">
        <f t="shared" si="0"/>
        <v>17.5</v>
      </c>
      <c r="AB19" s="47"/>
      <c r="AC19" s="47"/>
      <c r="AD19" s="47"/>
      <c r="AR19" s="17"/>
      <c r="AS19" s="10">
        <f>AS18</f>
        <v>80</v>
      </c>
      <c r="AV19" s="47"/>
      <c r="AW19" s="47"/>
      <c r="AY19" s="17"/>
      <c r="BA19" s="397"/>
      <c r="BB19" s="397" t="s">
        <v>631</v>
      </c>
      <c r="BC19" s="47"/>
      <c r="BD19" s="47"/>
    </row>
    <row r="20" spans="2:56" x14ac:dyDescent="0.25">
      <c r="C20" s="239">
        <v>2012</v>
      </c>
      <c r="D20" s="17"/>
      <c r="F20">
        <f>F46*Parameters!$C$7*Parameters!$C$12</f>
        <v>3.15</v>
      </c>
      <c r="G20">
        <f>G46*Parameters!$C$7*Parameters!$C$12</f>
        <v>2.9250000000000003</v>
      </c>
      <c r="H20" s="47"/>
      <c r="I20" s="47"/>
      <c r="J20" s="17"/>
      <c r="L20">
        <f>L46*Parameters!$C$7*Parameters!$C$12</f>
        <v>3.15</v>
      </c>
      <c r="M20">
        <f>M46*Parameters!$C$7*Parameters!$C$12</f>
        <v>4.95</v>
      </c>
      <c r="N20" s="47"/>
      <c r="O20" s="47"/>
      <c r="P20" s="44"/>
      <c r="Q20" s="10">
        <f>Q19</f>
        <v>7.2</v>
      </c>
      <c r="R20">
        <f>R46*Parameters!$C$7*Parameters!$C$12</f>
        <v>7.2</v>
      </c>
      <c r="S20">
        <f>S46*Parameters!$C$7*Parameters!$C$12</f>
        <v>10.8</v>
      </c>
      <c r="T20" s="47"/>
      <c r="U20" s="47"/>
      <c r="V20" s="47"/>
      <c r="X20" s="44"/>
      <c r="Y20" s="10">
        <f>Y19</f>
        <v>7.5</v>
      </c>
      <c r="Z20">
        <f t="shared" si="0"/>
        <v>8.1</v>
      </c>
      <c r="AA20">
        <f t="shared" si="0"/>
        <v>17.5</v>
      </c>
      <c r="AB20" s="47"/>
      <c r="AC20" s="47"/>
      <c r="AD20" s="47"/>
      <c r="AR20" s="17"/>
      <c r="AS20" s="10">
        <f>AS19</f>
        <v>80</v>
      </c>
      <c r="AT20" s="46">
        <v>80</v>
      </c>
      <c r="AV20" s="47"/>
      <c r="AW20" s="47"/>
      <c r="AY20" s="17"/>
      <c r="BA20" s="397"/>
      <c r="BB20" s="397"/>
      <c r="BC20" s="47"/>
      <c r="BD20" s="47"/>
    </row>
    <row r="21" spans="2:56" x14ac:dyDescent="0.25">
      <c r="C21" s="239">
        <v>2013</v>
      </c>
      <c r="D21" s="17"/>
      <c r="E21">
        <f>E47*Parameters!$C$7*Parameters!$C$12</f>
        <v>3.15</v>
      </c>
      <c r="F21">
        <f>F47*Parameters!$C$7*Parameters!$C$12</f>
        <v>3.15</v>
      </c>
      <c r="G21">
        <f>G47*Parameters!$C$7*Parameters!$C$12</f>
        <v>2.4750000000000001</v>
      </c>
      <c r="H21" s="47"/>
      <c r="I21" s="47"/>
      <c r="J21" s="17"/>
      <c r="K21">
        <f>K47*Parameters!$C$7*Parameters!$C$12</f>
        <v>3.15</v>
      </c>
      <c r="L21">
        <f>L47*Parameters!$C$7*Parameters!$C$12</f>
        <v>3.15</v>
      </c>
      <c r="M21">
        <f>M47*Parameters!$C$7*Parameters!$C$12</f>
        <v>4.05</v>
      </c>
      <c r="N21" s="47"/>
      <c r="O21" s="47"/>
      <c r="P21" s="44"/>
      <c r="Q21">
        <f>Q47*Parameters!$C$7*Parameters!$C$12</f>
        <v>7.2</v>
      </c>
      <c r="R21">
        <f>R47*Parameters!$C$7*Parameters!$C$12</f>
        <v>7.2</v>
      </c>
      <c r="S21">
        <f>S47*Parameters!$C$7*Parameters!$C$12</f>
        <v>9.4500000000000011</v>
      </c>
      <c r="T21" s="97">
        <f>T47*Parameters!$C$3*Parameters!$C$12</f>
        <v>9</v>
      </c>
      <c r="U21" s="47"/>
      <c r="V21" s="47"/>
      <c r="X21" s="44"/>
      <c r="Y21">
        <f t="shared" si="0"/>
        <v>7.5</v>
      </c>
      <c r="Z21">
        <f t="shared" si="0"/>
        <v>8.1</v>
      </c>
      <c r="AA21">
        <f t="shared" si="0"/>
        <v>14</v>
      </c>
      <c r="AB21" s="97">
        <f t="shared" ref="AB21" si="1">AB47+AI47</f>
        <v>14.1</v>
      </c>
      <c r="AC21" s="31">
        <f>AC47+AI47</f>
        <v>14.3</v>
      </c>
      <c r="AD21" s="47"/>
      <c r="AR21" s="17"/>
      <c r="AS21" s="46">
        <v>90</v>
      </c>
      <c r="AT21" s="46">
        <v>90</v>
      </c>
      <c r="AV21" s="20">
        <v>50</v>
      </c>
      <c r="AW21" s="47"/>
      <c r="AY21" s="17"/>
      <c r="BA21" s="397"/>
      <c r="BB21" s="397"/>
      <c r="BC21">
        <v>0.22</v>
      </c>
      <c r="BD21" s="47"/>
    </row>
    <row r="22" spans="2:56" x14ac:dyDescent="0.25">
      <c r="C22" s="239">
        <v>2014</v>
      </c>
      <c r="D22" s="17"/>
      <c r="G22">
        <f>G48*Parameters!$C$7*Parameters!$C$12</f>
        <v>2.4750000000000001</v>
      </c>
      <c r="H22" s="47"/>
      <c r="I22" s="47"/>
      <c r="J22" s="17"/>
      <c r="M22">
        <f>M48*Parameters!$C$7*Parameters!$C$12</f>
        <v>4.05</v>
      </c>
      <c r="N22" s="47"/>
      <c r="O22" s="47"/>
      <c r="P22" s="44"/>
      <c r="Q22" s="10">
        <f>Q21</f>
        <v>7.2</v>
      </c>
      <c r="S22">
        <f>S48*Parameters!$C$7*Parameters!$C$12</f>
        <v>9.4500000000000011</v>
      </c>
      <c r="T22" s="98">
        <f>T48*Parameters!$C$3*Parameters!$C$12</f>
        <v>9</v>
      </c>
      <c r="U22" s="47"/>
      <c r="V22" s="47"/>
      <c r="X22" s="44"/>
      <c r="Y22" s="10">
        <f>Y21</f>
        <v>7.5</v>
      </c>
      <c r="Z22" s="10"/>
      <c r="AA22">
        <f t="shared" si="0"/>
        <v>14</v>
      </c>
      <c r="AB22" s="98">
        <f t="shared" ref="AB22:AB23" si="2">AB48+AI48</f>
        <v>14.1</v>
      </c>
      <c r="AC22" s="33">
        <f t="shared" ref="AC22:AC28" si="3">AC48+AI48</f>
        <v>14.3</v>
      </c>
      <c r="AD22" s="47"/>
      <c r="AR22" s="17"/>
      <c r="AS22" s="10">
        <f>AS21</f>
        <v>90</v>
      </c>
      <c r="AV22" s="20">
        <v>50</v>
      </c>
      <c r="AW22" s="47"/>
      <c r="AY22" s="17"/>
      <c r="BA22" s="397"/>
      <c r="BB22" s="397"/>
      <c r="BC22">
        <v>0.22</v>
      </c>
      <c r="BD22" s="47"/>
    </row>
    <row r="23" spans="2:56" x14ac:dyDescent="0.25">
      <c r="C23" s="239">
        <v>2015</v>
      </c>
      <c r="D23" s="17"/>
      <c r="F23">
        <f>F49*Parameters!$C$7*Parameters!$C$12</f>
        <v>3.15</v>
      </c>
      <c r="G23">
        <f>G49*Parameters!$C$7*Parameters!$C$12</f>
        <v>2.4750000000000001</v>
      </c>
      <c r="I23" s="47"/>
      <c r="J23" s="17"/>
      <c r="L23">
        <f>L49*Parameters!$C$7*Parameters!$C$12</f>
        <v>3.15</v>
      </c>
      <c r="M23">
        <f>M49*Parameters!$C$7*Parameters!$C$12</f>
        <v>4.05</v>
      </c>
      <c r="O23" s="47"/>
      <c r="P23" s="44"/>
      <c r="Q23" s="10">
        <f>Q22</f>
        <v>7.2</v>
      </c>
      <c r="R23">
        <f>R49*Parameters!$C$7*Parameters!$C$12</f>
        <v>7.2</v>
      </c>
      <c r="S23">
        <f>S49*Parameters!$C$7*Parameters!$C$12</f>
        <v>9.4500000000000011</v>
      </c>
      <c r="T23" s="32">
        <f>T49*Parameters!$C$3*Parameters!$C$12</f>
        <v>9</v>
      </c>
      <c r="U23" s="31">
        <f>U49*Parameters!$C$3*Parameters!$C$12</f>
        <v>10.8</v>
      </c>
      <c r="V23" s="47"/>
      <c r="X23" s="44"/>
      <c r="Y23" s="10">
        <f>Y22</f>
        <v>7.5</v>
      </c>
      <c r="Z23">
        <f t="shared" si="0"/>
        <v>8.1</v>
      </c>
      <c r="AA23">
        <f t="shared" si="0"/>
        <v>14</v>
      </c>
      <c r="AB23" s="98">
        <f t="shared" si="2"/>
        <v>13.5</v>
      </c>
      <c r="AC23" s="33">
        <f t="shared" si="3"/>
        <v>13.8</v>
      </c>
      <c r="AD23" s="47"/>
      <c r="AR23" s="17"/>
      <c r="AS23" s="10">
        <f>AS22</f>
        <v>90</v>
      </c>
      <c r="AT23" s="46">
        <v>90</v>
      </c>
      <c r="AV23" s="20">
        <v>60</v>
      </c>
      <c r="AW23" s="47"/>
      <c r="AY23" s="17"/>
      <c r="BA23" s="397"/>
      <c r="BB23" s="397"/>
      <c r="BC23">
        <v>0.22</v>
      </c>
      <c r="BD23" s="47"/>
    </row>
    <row r="24" spans="2:56" x14ac:dyDescent="0.25">
      <c r="C24" s="239">
        <v>2016</v>
      </c>
      <c r="D24" s="17"/>
      <c r="E24">
        <f>E50*Parameters!$C$7*Parameters!$C$12</f>
        <v>3.15</v>
      </c>
      <c r="F24">
        <f>F50*Parameters!$C$7*Parameters!$C$12</f>
        <v>3.15</v>
      </c>
      <c r="G24">
        <f>G50*Parameters!$C$7*Parameters!$C$12</f>
        <v>2.25</v>
      </c>
      <c r="I24" s="47"/>
      <c r="J24" s="17"/>
      <c r="K24">
        <f>K50*Parameters!$C$7*Parameters!$C$12</f>
        <v>3.15</v>
      </c>
      <c r="L24">
        <f>L50*Parameters!$C$7*Parameters!$C$12</f>
        <v>3.15</v>
      </c>
      <c r="M24">
        <f>M50*Parameters!$C$7*Parameters!$C$12</f>
        <v>2.9250000000000003</v>
      </c>
      <c r="O24" s="47"/>
      <c r="P24" s="44"/>
      <c r="Q24">
        <f>Q50*Parameters!$C$7*Parameters!$C$12</f>
        <v>7.2</v>
      </c>
      <c r="R24">
        <f>R50*Parameters!$C$7*Parameters!$C$12</f>
        <v>7.2</v>
      </c>
      <c r="S24">
        <f>S50*Parameters!$C$7*Parameters!$C$12</f>
        <v>7.875</v>
      </c>
      <c r="T24" s="32">
        <f>T50*Parameters!$C$3*Parameters!$C$12</f>
        <v>8.1</v>
      </c>
      <c r="U24" s="33">
        <f>U50*Parameters!$C$3*Parameters!$C$12</f>
        <v>10.8</v>
      </c>
      <c r="V24" s="47"/>
      <c r="X24" s="44"/>
      <c r="Y24">
        <f t="shared" si="0"/>
        <v>7.5</v>
      </c>
      <c r="Z24">
        <f t="shared" si="0"/>
        <v>8.1</v>
      </c>
      <c r="AA24">
        <f t="shared" si="0"/>
        <v>10.5</v>
      </c>
      <c r="AB24" s="98">
        <f t="shared" si="0"/>
        <v>12.4</v>
      </c>
      <c r="AC24" s="33">
        <f t="shared" si="3"/>
        <v>13</v>
      </c>
      <c r="AD24" s="47"/>
      <c r="AR24" s="17"/>
      <c r="AS24" s="46">
        <v>90</v>
      </c>
      <c r="AT24" s="46">
        <v>90</v>
      </c>
      <c r="AV24" s="20">
        <v>60</v>
      </c>
      <c r="AW24" s="47"/>
      <c r="AY24" s="17"/>
      <c r="BA24" s="397"/>
      <c r="BB24" s="397"/>
      <c r="BC24">
        <v>0.22</v>
      </c>
      <c r="BD24" s="47"/>
    </row>
    <row r="25" spans="2:56" x14ac:dyDescent="0.25">
      <c r="C25" s="239">
        <v>2017</v>
      </c>
      <c r="D25" s="17"/>
      <c r="E25" s="47"/>
      <c r="G25">
        <f>G51*Parameters!$C$7*Parameters!$C$12</f>
        <v>2.25</v>
      </c>
      <c r="J25" s="17"/>
      <c r="K25" s="47"/>
      <c r="M25">
        <f>M51*Parameters!$C$7*Parameters!$C$12</f>
        <v>2.9250000000000003</v>
      </c>
      <c r="P25" s="44"/>
      <c r="Q25" s="367">
        <f>Q24</f>
        <v>7.2</v>
      </c>
      <c r="S25">
        <f>S51*Parameters!$C$7*Parameters!$C$12</f>
        <v>7.875</v>
      </c>
      <c r="T25" s="32">
        <f>T51*Parameters!$C$3*Parameters!$C$12</f>
        <v>8.1</v>
      </c>
      <c r="U25" s="33">
        <f>U51*Parameters!$C$3*Parameters!$C$12</f>
        <v>10.8</v>
      </c>
      <c r="X25" s="44"/>
      <c r="Y25" s="367">
        <f>Y24</f>
        <v>7.5</v>
      </c>
      <c r="Z25" s="10"/>
      <c r="AA25">
        <f t="shared" si="0"/>
        <v>10.5</v>
      </c>
      <c r="AB25" s="98">
        <f t="shared" si="0"/>
        <v>11.8</v>
      </c>
      <c r="AC25" s="33">
        <f t="shared" si="3"/>
        <v>12.4</v>
      </c>
      <c r="AR25" s="17"/>
      <c r="AS25" s="367">
        <f>AS24</f>
        <v>90</v>
      </c>
      <c r="AV25" s="20">
        <v>70</v>
      </c>
      <c r="AY25" s="17"/>
      <c r="AZ25" s="47"/>
      <c r="BA25" s="397"/>
      <c r="BB25" s="397"/>
      <c r="BC25">
        <v>0.22</v>
      </c>
    </row>
    <row r="26" spans="2:56" x14ac:dyDescent="0.25">
      <c r="C26" s="239">
        <v>2018</v>
      </c>
      <c r="D26" s="17"/>
      <c r="E26" s="47"/>
      <c r="F26">
        <f>F52*Parameters!$C$7*Parameters!$C$12</f>
        <v>3.15</v>
      </c>
      <c r="G26">
        <f>G52*Parameters!$C$7*Parameters!$C$12</f>
        <v>2.25</v>
      </c>
      <c r="J26" s="17"/>
      <c r="K26" s="47"/>
      <c r="L26">
        <f>L52*Parameters!$C$7*Parameters!$C$12</f>
        <v>3.15</v>
      </c>
      <c r="M26">
        <f>M52*Parameters!$C$7*Parameters!$C$12</f>
        <v>2.9250000000000003</v>
      </c>
      <c r="P26" s="44"/>
      <c r="Q26" s="367">
        <f t="shared" ref="Q26:Q28" si="4">Q25</f>
        <v>7.2</v>
      </c>
      <c r="R26">
        <f>R52*Parameters!$C$7*Parameters!$C$12</f>
        <v>7.2</v>
      </c>
      <c r="S26">
        <f>S52*Parameters!$C$7*Parameters!$C$12</f>
        <v>7.875</v>
      </c>
      <c r="T26" s="32">
        <f>T52*Parameters!$C$3*Parameters!$C$12</f>
        <v>8.1</v>
      </c>
      <c r="U26" s="33">
        <f>U52*Parameters!$C$3*Parameters!$C$12</f>
        <v>10.8</v>
      </c>
      <c r="X26" s="44"/>
      <c r="Y26" s="367">
        <f t="shared" ref="Y26:Y28" si="5">Y25</f>
        <v>7.5</v>
      </c>
      <c r="Z26">
        <f t="shared" ref="Z26:AB28" si="6">Z52+AG52</f>
        <v>8.1</v>
      </c>
      <c r="AA26">
        <f t="shared" si="6"/>
        <v>10.5</v>
      </c>
      <c r="AB26" s="98">
        <f t="shared" si="6"/>
        <v>11.8</v>
      </c>
      <c r="AC26" s="33">
        <f t="shared" si="3"/>
        <v>12.4</v>
      </c>
      <c r="AR26" s="17"/>
      <c r="AS26" s="367">
        <f t="shared" ref="AS26:AS28" si="7">AS25</f>
        <v>90</v>
      </c>
      <c r="AT26" s="46">
        <v>90</v>
      </c>
      <c r="AV26" s="20">
        <v>70</v>
      </c>
      <c r="AY26" s="17"/>
      <c r="AZ26" s="47"/>
      <c r="BA26" s="397"/>
      <c r="BB26" s="397"/>
      <c r="BC26">
        <v>0.22</v>
      </c>
    </row>
    <row r="27" spans="2:56" x14ac:dyDescent="0.25">
      <c r="C27" s="239">
        <v>2019</v>
      </c>
      <c r="D27" s="17"/>
      <c r="E27" s="47"/>
      <c r="F27" s="47"/>
      <c r="G27">
        <f>G53*Parameters!$C$7*Parameters!$C$12</f>
        <v>2.25</v>
      </c>
      <c r="J27" s="17"/>
      <c r="K27" s="47"/>
      <c r="L27" s="47"/>
      <c r="M27">
        <f>M53*Parameters!$C$7*Parameters!$C$12</f>
        <v>2.9250000000000003</v>
      </c>
      <c r="P27" s="44"/>
      <c r="Q27" s="367">
        <f t="shared" si="4"/>
        <v>7.2</v>
      </c>
      <c r="R27" s="47"/>
      <c r="S27">
        <f>S53*Parameters!$C$7*Parameters!$C$12</f>
        <v>7.875</v>
      </c>
      <c r="T27" s="32">
        <f>T53*Parameters!$C$3*Parameters!$C$12</f>
        <v>7.2</v>
      </c>
      <c r="U27" s="33">
        <f>U53*Parameters!$C$3*Parameters!$C$12</f>
        <v>10.8</v>
      </c>
      <c r="X27" s="44"/>
      <c r="Y27" s="367">
        <f t="shared" si="5"/>
        <v>7.5</v>
      </c>
      <c r="Z27" s="47"/>
      <c r="AA27">
        <f t="shared" si="6"/>
        <v>10.5</v>
      </c>
      <c r="AB27" s="98">
        <f t="shared" si="6"/>
        <v>10</v>
      </c>
      <c r="AC27" s="33">
        <f t="shared" si="3"/>
        <v>10.8</v>
      </c>
      <c r="AR27" s="17"/>
      <c r="AS27" s="367">
        <f t="shared" si="7"/>
        <v>90</v>
      </c>
      <c r="AT27" s="47"/>
      <c r="AV27" s="20">
        <v>70</v>
      </c>
      <c r="AY27" s="17"/>
      <c r="AZ27" s="47"/>
      <c r="BA27" s="397"/>
      <c r="BB27" s="397"/>
      <c r="BC27">
        <v>0.22</v>
      </c>
    </row>
    <row r="28" spans="2:56" x14ac:dyDescent="0.25">
      <c r="C28" s="239">
        <v>2020</v>
      </c>
      <c r="D28" s="17"/>
      <c r="E28" s="47"/>
      <c r="F28" s="47"/>
      <c r="G28">
        <f>G54*Parameters!$C$7*Parameters!$C$12</f>
        <v>2.25</v>
      </c>
      <c r="J28" s="17"/>
      <c r="K28" s="47"/>
      <c r="L28" s="47"/>
      <c r="M28">
        <f>M54*Parameters!$C$7*Parameters!$C$12</f>
        <v>2.9250000000000003</v>
      </c>
      <c r="P28" s="44"/>
      <c r="Q28" s="367">
        <f t="shared" si="4"/>
        <v>7.2</v>
      </c>
      <c r="R28" s="47"/>
      <c r="S28">
        <f>S54*Parameters!$C$7*Parameters!$C$12</f>
        <v>7.875</v>
      </c>
      <c r="T28" s="209">
        <f>T54*Parameters!$C$3*Parameters!$C$12</f>
        <v>7.2</v>
      </c>
      <c r="U28" s="210">
        <f>U54*Parameters!$C$3*Parameters!$C$12</f>
        <v>10.8</v>
      </c>
      <c r="X28" s="44"/>
      <c r="Y28" s="367">
        <f t="shared" si="5"/>
        <v>7.5</v>
      </c>
      <c r="Z28" s="47"/>
      <c r="AA28">
        <f t="shared" si="6"/>
        <v>10.5</v>
      </c>
      <c r="AB28" s="166">
        <f t="shared" si="6"/>
        <v>9.8000000000000007</v>
      </c>
      <c r="AC28" s="210">
        <f t="shared" si="3"/>
        <v>10.5</v>
      </c>
      <c r="AR28" s="17"/>
      <c r="AS28" s="367">
        <f t="shared" si="7"/>
        <v>90</v>
      </c>
      <c r="AT28" s="47"/>
      <c r="AV28" s="20">
        <v>75</v>
      </c>
      <c r="AY28" s="17"/>
      <c r="AZ28" s="47"/>
      <c r="BA28" s="397"/>
      <c r="BB28" s="397"/>
      <c r="BC28">
        <v>0.22</v>
      </c>
    </row>
    <row r="29" spans="2:56" s="51" customFormat="1" x14ac:dyDescent="0.25">
      <c r="I29" s="51" t="s">
        <v>74</v>
      </c>
      <c r="O29" s="51" t="s">
        <v>74</v>
      </c>
      <c r="V29" s="51" t="s">
        <v>74</v>
      </c>
      <c r="AC29"/>
      <c r="AD29" s="51" t="s">
        <v>74</v>
      </c>
      <c r="AU29" s="51" t="s">
        <v>74</v>
      </c>
      <c r="AW29" s="51" t="s">
        <v>74</v>
      </c>
      <c r="BD29" s="51" t="s">
        <v>74</v>
      </c>
    </row>
    <row r="31" spans="2:56" x14ac:dyDescent="0.25">
      <c r="D31" s="395" t="s">
        <v>632</v>
      </c>
      <c r="E31" s="395"/>
      <c r="F31" s="395"/>
      <c r="G31" s="395"/>
      <c r="H31" s="395"/>
      <c r="I31" s="395"/>
      <c r="J31" s="395"/>
      <c r="K31" s="395"/>
      <c r="L31" s="395"/>
      <c r="M31" s="395"/>
      <c r="N31" s="395"/>
      <c r="O31" s="395"/>
      <c r="P31" s="395"/>
      <c r="Q31" s="395"/>
      <c r="R31" s="395"/>
      <c r="S31" s="395"/>
      <c r="T31" s="395"/>
      <c r="U31" s="395"/>
      <c r="V31" s="395"/>
      <c r="X31" s="395" t="s">
        <v>633</v>
      </c>
      <c r="Y31" s="395"/>
      <c r="Z31" s="395"/>
      <c r="AA31" s="395"/>
      <c r="AB31" s="395"/>
      <c r="AC31" s="395"/>
      <c r="AD31" s="395"/>
      <c r="AE31" s="395"/>
      <c r="AF31" s="395"/>
      <c r="AG31" s="395"/>
      <c r="AH31" s="395"/>
      <c r="AI31" s="395"/>
      <c r="AJ31" s="395"/>
      <c r="AK31" s="395"/>
      <c r="AL31" s="395"/>
      <c r="AM31" s="395"/>
      <c r="AN31" s="395"/>
      <c r="AO31" s="395"/>
      <c r="AP31" s="395"/>
    </row>
    <row r="32" spans="2:56" x14ac:dyDescent="0.25">
      <c r="B32" s="239" t="s">
        <v>609</v>
      </c>
      <c r="C32" s="239"/>
      <c r="D32" s="17" t="s">
        <v>634</v>
      </c>
      <c r="J32" s="17" t="s">
        <v>635</v>
      </c>
      <c r="P32" s="45" t="s">
        <v>636</v>
      </c>
      <c r="S32" s="54"/>
      <c r="T32" s="54"/>
      <c r="U32" s="54"/>
      <c r="X32" s="17" t="s">
        <v>637</v>
      </c>
      <c r="AB32" s="54"/>
      <c r="AC32" s="54"/>
      <c r="AE32" s="17" t="s">
        <v>638</v>
      </c>
      <c r="AI32" s="54"/>
      <c r="AK32" s="17" t="s">
        <v>639</v>
      </c>
      <c r="AN32" s="54"/>
    </row>
    <row r="33" spans="2:42" ht="45.75" x14ac:dyDescent="0.25">
      <c r="B33" s="239" t="s">
        <v>640</v>
      </c>
      <c r="C33" s="366"/>
      <c r="D33" s="93"/>
      <c r="E33" s="94"/>
      <c r="F33" s="94"/>
      <c r="G33" s="95" t="s">
        <v>616</v>
      </c>
      <c r="H33" s="94"/>
      <c r="I33" s="94"/>
      <c r="J33" s="93"/>
      <c r="K33" s="94"/>
      <c r="L33" s="94"/>
      <c r="M33" s="95" t="s">
        <v>617</v>
      </c>
      <c r="N33" s="94"/>
      <c r="O33" s="94"/>
      <c r="P33" s="96"/>
      <c r="Q33" s="94"/>
      <c r="R33" s="94"/>
      <c r="S33" s="95" t="s">
        <v>618</v>
      </c>
      <c r="T33" s="95" t="s">
        <v>619</v>
      </c>
      <c r="U33" s="95" t="s">
        <v>620</v>
      </c>
      <c r="V33" s="94"/>
      <c r="X33" s="93"/>
      <c r="Y33" s="94"/>
      <c r="Z33" s="94"/>
      <c r="AA33" s="94"/>
      <c r="AB33" s="95" t="s">
        <v>641</v>
      </c>
      <c r="AC33" s="95" t="s">
        <v>642</v>
      </c>
      <c r="AD33" s="94"/>
      <c r="AE33" s="93"/>
      <c r="AF33" s="94"/>
      <c r="AG33" s="94"/>
      <c r="AH33" s="94"/>
      <c r="AI33" s="95" t="s">
        <v>643</v>
      </c>
      <c r="AJ33" s="94"/>
      <c r="AK33" s="93"/>
      <c r="AL33" s="94"/>
      <c r="AM33" s="94"/>
      <c r="AN33" s="95" t="s">
        <v>644</v>
      </c>
      <c r="AO33" s="94"/>
      <c r="AP33" s="94"/>
    </row>
    <row r="34" spans="2:42" x14ac:dyDescent="0.25">
      <c r="C34" s="239"/>
      <c r="D34" s="17"/>
      <c r="E34" t="s">
        <v>625</v>
      </c>
      <c r="F34" t="s">
        <v>626</v>
      </c>
      <c r="G34" t="s">
        <v>627</v>
      </c>
      <c r="H34" t="s">
        <v>628</v>
      </c>
      <c r="I34" t="s">
        <v>629</v>
      </c>
      <c r="J34" s="17"/>
      <c r="K34" t="s">
        <v>625</v>
      </c>
      <c r="L34" t="s">
        <v>626</v>
      </c>
      <c r="M34" t="s">
        <v>627</v>
      </c>
      <c r="N34" t="s">
        <v>628</v>
      </c>
      <c r="O34" t="s">
        <v>629</v>
      </c>
      <c r="P34" s="44"/>
      <c r="Q34" t="s">
        <v>625</v>
      </c>
      <c r="R34" t="s">
        <v>626</v>
      </c>
      <c r="S34" t="s">
        <v>627</v>
      </c>
      <c r="T34" t="s">
        <v>628</v>
      </c>
      <c r="U34" t="s">
        <v>628</v>
      </c>
      <c r="V34" t="s">
        <v>629</v>
      </c>
      <c r="X34" s="17"/>
      <c r="Y34" t="s">
        <v>625</v>
      </c>
      <c r="Z34" t="s">
        <v>626</v>
      </c>
      <c r="AA34" t="s">
        <v>627</v>
      </c>
      <c r="AB34" t="s">
        <v>628</v>
      </c>
      <c r="AC34" t="s">
        <v>628</v>
      </c>
      <c r="AD34" t="s">
        <v>629</v>
      </c>
      <c r="AE34" s="17"/>
      <c r="AF34" t="s">
        <v>625</v>
      </c>
      <c r="AG34" t="s">
        <v>626</v>
      </c>
      <c r="AH34" t="s">
        <v>627</v>
      </c>
      <c r="AI34" t="s">
        <v>628</v>
      </c>
      <c r="AJ34" t="s">
        <v>629</v>
      </c>
      <c r="AK34" s="17"/>
      <c r="AL34" t="s">
        <v>625</v>
      </c>
      <c r="AM34" t="s">
        <v>626</v>
      </c>
      <c r="AN34" t="s">
        <v>627</v>
      </c>
      <c r="AO34" t="s">
        <v>628</v>
      </c>
      <c r="AP34" t="s">
        <v>629</v>
      </c>
    </row>
    <row r="35" spans="2:42" x14ac:dyDescent="0.25">
      <c r="C35" s="239">
        <v>2001</v>
      </c>
      <c r="D35" s="17"/>
      <c r="E35">
        <v>0.6</v>
      </c>
      <c r="F35" s="47"/>
      <c r="G35" s="47"/>
      <c r="H35" s="47"/>
      <c r="I35" s="47"/>
      <c r="J35" s="17"/>
      <c r="K35">
        <v>0.6</v>
      </c>
      <c r="L35" s="47"/>
      <c r="M35" s="47"/>
      <c r="N35" s="47"/>
      <c r="O35" s="47"/>
      <c r="P35" s="44"/>
      <c r="Q35" s="20">
        <v>1.5</v>
      </c>
      <c r="R35" s="47"/>
      <c r="S35" s="47"/>
      <c r="T35" s="47"/>
      <c r="U35" s="47"/>
      <c r="V35" s="47"/>
      <c r="X35" s="17"/>
      <c r="Y35">
        <v>5.9</v>
      </c>
      <c r="Z35" s="47"/>
      <c r="AA35" s="47"/>
      <c r="AB35" s="47"/>
      <c r="AC35" s="47"/>
      <c r="AD35" s="47"/>
      <c r="AE35" s="17"/>
      <c r="AF35">
        <v>7</v>
      </c>
      <c r="AG35" s="47"/>
      <c r="AH35" s="47"/>
      <c r="AI35" s="47"/>
      <c r="AJ35" s="47"/>
      <c r="AK35" s="17"/>
      <c r="AL35">
        <v>0.15</v>
      </c>
      <c r="AM35" s="47"/>
      <c r="AN35" s="47"/>
      <c r="AO35" s="47"/>
      <c r="AP35" s="47"/>
    </row>
    <row r="36" spans="2:42" x14ac:dyDescent="0.25">
      <c r="C36" s="239">
        <v>2002</v>
      </c>
      <c r="D36" s="17"/>
      <c r="E36">
        <v>0.6</v>
      </c>
      <c r="F36" s="47"/>
      <c r="G36" s="47"/>
      <c r="H36" s="47"/>
      <c r="I36" s="47"/>
      <c r="J36" s="17"/>
      <c r="K36">
        <v>0.6</v>
      </c>
      <c r="L36" s="47"/>
      <c r="M36" s="47"/>
      <c r="N36" s="47"/>
      <c r="O36" s="47"/>
      <c r="P36" s="44"/>
      <c r="Q36" s="20">
        <v>1.5</v>
      </c>
      <c r="R36" s="47"/>
      <c r="S36" s="47"/>
      <c r="T36" s="47"/>
      <c r="U36" s="47"/>
      <c r="V36" s="47"/>
      <c r="X36" s="17"/>
      <c r="Y36">
        <v>5.9</v>
      </c>
      <c r="Z36" s="47"/>
      <c r="AA36" s="47"/>
      <c r="AB36" s="47"/>
      <c r="AC36" s="47"/>
      <c r="AD36" s="47"/>
      <c r="AE36" s="17"/>
      <c r="AF36">
        <v>6</v>
      </c>
      <c r="AG36" s="47"/>
      <c r="AH36" s="47"/>
      <c r="AI36" s="47"/>
      <c r="AJ36" s="47"/>
      <c r="AK36" s="17"/>
      <c r="AL36">
        <v>7.4999999999999997E-2</v>
      </c>
      <c r="AM36" s="47"/>
      <c r="AN36" s="47"/>
      <c r="AO36" s="47"/>
      <c r="AP36" s="47"/>
    </row>
    <row r="37" spans="2:42" x14ac:dyDescent="0.25">
      <c r="C37" s="239">
        <v>2003</v>
      </c>
      <c r="D37" s="17"/>
      <c r="E37" s="20">
        <v>0.45</v>
      </c>
      <c r="F37" s="20">
        <v>0.6</v>
      </c>
      <c r="G37" s="47"/>
      <c r="H37" s="47"/>
      <c r="I37" s="47"/>
      <c r="J37" s="17"/>
      <c r="K37" s="20">
        <v>0.45</v>
      </c>
      <c r="L37" s="20">
        <v>0.6</v>
      </c>
      <c r="M37" s="47"/>
      <c r="N37" s="47"/>
      <c r="O37" s="47"/>
      <c r="P37" s="44"/>
      <c r="Q37" s="20">
        <v>1.5</v>
      </c>
      <c r="R37" s="20">
        <v>1.5</v>
      </c>
      <c r="S37" s="47"/>
      <c r="T37" s="47"/>
      <c r="U37" s="47"/>
      <c r="V37" s="47"/>
      <c r="X37" s="17"/>
      <c r="Y37" s="20">
        <v>3.5</v>
      </c>
      <c r="Z37" s="20">
        <v>9</v>
      </c>
      <c r="AA37" s="47"/>
      <c r="AB37" s="47"/>
      <c r="AC37" s="47"/>
      <c r="AD37" s="47"/>
      <c r="AE37" s="17"/>
      <c r="AF37">
        <v>6</v>
      </c>
      <c r="AG37">
        <v>6</v>
      </c>
      <c r="AH37" s="47"/>
      <c r="AI37" s="47"/>
      <c r="AJ37" s="47"/>
      <c r="AK37" s="17"/>
      <c r="AL37">
        <v>7.4999999999999997E-2</v>
      </c>
      <c r="AN37" s="47"/>
      <c r="AO37" s="47"/>
      <c r="AP37" s="47"/>
    </row>
    <row r="38" spans="2:42" x14ac:dyDescent="0.25">
      <c r="C38" s="239">
        <v>2004</v>
      </c>
      <c r="D38" s="17"/>
      <c r="E38" s="20">
        <v>0.45</v>
      </c>
      <c r="F38" s="20">
        <v>0.6</v>
      </c>
      <c r="G38" s="47"/>
      <c r="H38" s="47"/>
      <c r="I38" s="47"/>
      <c r="J38" s="17"/>
      <c r="K38" s="20">
        <v>0.45</v>
      </c>
      <c r="L38" s="20">
        <v>0.6</v>
      </c>
      <c r="M38" s="47"/>
      <c r="N38" s="47"/>
      <c r="O38" s="47"/>
      <c r="P38" s="44"/>
      <c r="Q38" s="20">
        <v>1.5</v>
      </c>
      <c r="R38" s="20">
        <v>1.5</v>
      </c>
      <c r="S38" s="47"/>
      <c r="T38" s="47"/>
      <c r="U38" s="47"/>
      <c r="V38" s="47"/>
      <c r="X38" s="17"/>
      <c r="Y38" s="20">
        <v>3.5</v>
      </c>
      <c r="Z38" s="20">
        <v>9</v>
      </c>
      <c r="AA38" s="47"/>
      <c r="AB38" s="47"/>
      <c r="AC38" s="47"/>
      <c r="AD38" s="47"/>
      <c r="AE38" s="17"/>
      <c r="AF38">
        <v>6</v>
      </c>
      <c r="AG38">
        <v>6</v>
      </c>
      <c r="AH38" s="47"/>
      <c r="AI38" s="47"/>
      <c r="AJ38" s="47"/>
      <c r="AK38" s="17"/>
      <c r="AL38" s="20">
        <v>0.06</v>
      </c>
      <c r="AN38" s="47"/>
      <c r="AO38" s="47"/>
      <c r="AP38" s="47"/>
    </row>
    <row r="39" spans="2:42" x14ac:dyDescent="0.25">
      <c r="C39" s="239">
        <v>2005</v>
      </c>
      <c r="D39" s="17"/>
      <c r="E39" s="46">
        <v>0.35</v>
      </c>
      <c r="F39" s="20">
        <v>0.6</v>
      </c>
      <c r="G39" s="47"/>
      <c r="H39" s="47"/>
      <c r="I39" s="47"/>
      <c r="J39" s="17"/>
      <c r="K39" s="46">
        <v>0.35</v>
      </c>
      <c r="L39" s="20">
        <v>0.6</v>
      </c>
      <c r="M39" s="47"/>
      <c r="N39" s="47"/>
      <c r="O39" s="47"/>
      <c r="P39" s="44"/>
      <c r="Q39" s="46">
        <v>1</v>
      </c>
      <c r="R39" s="46">
        <v>1</v>
      </c>
      <c r="S39" s="47"/>
      <c r="T39" s="47"/>
      <c r="U39" s="47"/>
      <c r="V39" s="47"/>
      <c r="X39" s="17"/>
      <c r="Y39" s="46">
        <v>3.5</v>
      </c>
      <c r="Z39" s="20">
        <v>9</v>
      </c>
      <c r="AA39" s="47"/>
      <c r="AB39" s="47"/>
      <c r="AC39" s="47"/>
      <c r="AD39" s="47"/>
      <c r="AE39" s="17"/>
      <c r="AF39" s="20">
        <v>5</v>
      </c>
      <c r="AG39" s="20">
        <v>5</v>
      </c>
      <c r="AH39" s="47"/>
      <c r="AI39" s="47"/>
      <c r="AJ39" s="47"/>
      <c r="AK39" s="17"/>
      <c r="AL39" s="20">
        <v>0.06</v>
      </c>
      <c r="AN39" s="47"/>
      <c r="AO39" s="47"/>
      <c r="AP39" s="47"/>
    </row>
    <row r="40" spans="2:42" x14ac:dyDescent="0.25">
      <c r="C40" s="239">
        <v>2006</v>
      </c>
      <c r="D40" s="17"/>
      <c r="E40" s="46">
        <v>0.35</v>
      </c>
      <c r="F40" s="20">
        <v>0.45</v>
      </c>
      <c r="G40" s="47"/>
      <c r="H40" s="47"/>
      <c r="I40" s="47"/>
      <c r="J40" s="17"/>
      <c r="K40" s="46">
        <v>0.35</v>
      </c>
      <c r="L40" s="20">
        <v>0.45</v>
      </c>
      <c r="M40" s="47"/>
      <c r="N40" s="47"/>
      <c r="O40" s="47"/>
      <c r="P40" s="44"/>
      <c r="Q40" s="46">
        <v>1</v>
      </c>
      <c r="R40" s="46">
        <v>1</v>
      </c>
      <c r="S40" s="47"/>
      <c r="T40" s="47"/>
      <c r="U40" s="47"/>
      <c r="V40" s="47"/>
      <c r="X40" s="17"/>
      <c r="Y40" s="46">
        <v>3.5</v>
      </c>
      <c r="Z40" s="20">
        <v>9</v>
      </c>
      <c r="AA40" s="47"/>
      <c r="AB40" s="47"/>
      <c r="AC40" s="47"/>
      <c r="AD40" s="47"/>
      <c r="AE40" s="17"/>
      <c r="AF40" s="20">
        <v>5</v>
      </c>
      <c r="AG40" s="20">
        <v>5</v>
      </c>
      <c r="AH40" s="47"/>
      <c r="AI40" s="47"/>
      <c r="AJ40" s="47"/>
      <c r="AK40" s="17"/>
      <c r="AL40" s="20">
        <v>0.06</v>
      </c>
      <c r="AN40" s="47"/>
      <c r="AO40" s="47"/>
      <c r="AP40" s="47"/>
    </row>
    <row r="41" spans="2:42" x14ac:dyDescent="0.25">
      <c r="C41" s="239">
        <v>2007</v>
      </c>
      <c r="D41" s="17"/>
      <c r="E41" s="46">
        <v>0.35</v>
      </c>
      <c r="F41" s="20">
        <v>0.45</v>
      </c>
      <c r="G41">
        <v>0.375</v>
      </c>
      <c r="H41" s="47"/>
      <c r="I41" s="47"/>
      <c r="J41" s="17"/>
      <c r="K41" s="46">
        <v>0.35</v>
      </c>
      <c r="L41" s="20">
        <v>0.45</v>
      </c>
      <c r="M41">
        <v>0.7</v>
      </c>
      <c r="N41" s="47"/>
      <c r="O41" s="47"/>
      <c r="P41" s="44"/>
      <c r="Q41" s="46">
        <v>1</v>
      </c>
      <c r="R41" s="46">
        <v>1</v>
      </c>
      <c r="S41" s="51">
        <v>1.4</v>
      </c>
      <c r="T41" s="47"/>
      <c r="U41" s="47"/>
      <c r="V41" s="47"/>
      <c r="X41" s="17"/>
      <c r="Y41" s="46">
        <v>3.5</v>
      </c>
      <c r="Z41" s="20">
        <v>9</v>
      </c>
      <c r="AA41">
        <v>15</v>
      </c>
      <c r="AB41" s="47"/>
      <c r="AC41" s="47"/>
      <c r="AD41" s="47"/>
      <c r="AE41" s="17"/>
      <c r="AF41" s="20">
        <v>5</v>
      </c>
      <c r="AG41" s="20">
        <v>5</v>
      </c>
      <c r="AH41">
        <v>8</v>
      </c>
      <c r="AI41" s="47"/>
      <c r="AJ41" s="47"/>
      <c r="AK41" s="17"/>
      <c r="AL41" s="20">
        <v>0.06</v>
      </c>
      <c r="AN41">
        <f>0.9*$AL$39</f>
        <v>5.3999999999999999E-2</v>
      </c>
      <c r="AO41" s="47"/>
      <c r="AP41" s="47"/>
    </row>
    <row r="42" spans="2:42" x14ac:dyDescent="0.25">
      <c r="C42" s="239">
        <v>2008</v>
      </c>
      <c r="D42" s="17"/>
      <c r="F42" s="46">
        <v>0.35</v>
      </c>
      <c r="G42">
        <v>0.375</v>
      </c>
      <c r="H42" s="47"/>
      <c r="I42" s="47"/>
      <c r="J42" s="17"/>
      <c r="L42" s="46">
        <v>0.35</v>
      </c>
      <c r="M42">
        <v>0.7</v>
      </c>
      <c r="N42" s="47"/>
      <c r="O42" s="47"/>
      <c r="P42" s="44"/>
      <c r="R42" s="46">
        <v>1</v>
      </c>
      <c r="S42" s="51">
        <v>1.4</v>
      </c>
      <c r="T42" s="47"/>
      <c r="U42" s="47"/>
      <c r="V42" s="47"/>
      <c r="X42" s="17"/>
      <c r="Z42" s="20">
        <v>9</v>
      </c>
      <c r="AA42">
        <v>13.5</v>
      </c>
      <c r="AB42" s="47"/>
      <c r="AC42" s="47"/>
      <c r="AD42" s="47"/>
      <c r="AE42" s="17"/>
      <c r="AG42" s="20">
        <v>5</v>
      </c>
      <c r="AH42">
        <v>7.5</v>
      </c>
      <c r="AI42" s="47"/>
      <c r="AJ42" s="47"/>
      <c r="AK42" s="17"/>
      <c r="AN42">
        <f>0.9*$AL$39</f>
        <v>5.3999999999999999E-2</v>
      </c>
      <c r="AO42" s="47"/>
      <c r="AP42" s="47"/>
    </row>
    <row r="43" spans="2:42" x14ac:dyDescent="0.25">
      <c r="C43" s="239">
        <v>2009</v>
      </c>
      <c r="D43" s="17"/>
      <c r="F43" s="46">
        <v>0.35</v>
      </c>
      <c r="G43">
        <v>0.375</v>
      </c>
      <c r="H43" s="47"/>
      <c r="I43" s="47"/>
      <c r="J43" s="17"/>
      <c r="L43" s="46">
        <v>0.35</v>
      </c>
      <c r="M43">
        <v>0.7</v>
      </c>
      <c r="N43" s="47"/>
      <c r="O43" s="47"/>
      <c r="P43" s="44"/>
      <c r="R43" s="46">
        <v>1</v>
      </c>
      <c r="S43" s="51">
        <v>1.4</v>
      </c>
      <c r="T43" s="47"/>
      <c r="U43" s="47"/>
      <c r="V43" s="47"/>
      <c r="X43" s="17"/>
      <c r="Z43" s="20">
        <v>9</v>
      </c>
      <c r="AA43">
        <v>13.5</v>
      </c>
      <c r="AB43" s="47"/>
      <c r="AC43" s="47"/>
      <c r="AD43" s="47"/>
      <c r="AE43" s="17"/>
      <c r="AG43" s="20">
        <v>5</v>
      </c>
      <c r="AH43">
        <v>7.5</v>
      </c>
      <c r="AI43" s="47"/>
      <c r="AJ43" s="47"/>
      <c r="AK43" s="17"/>
      <c r="AN43">
        <f>0.9*$AL$39</f>
        <v>5.3999999999999999E-2</v>
      </c>
      <c r="AO43" s="47"/>
      <c r="AP43" s="47"/>
    </row>
    <row r="44" spans="2:42" x14ac:dyDescent="0.25">
      <c r="C44" s="239">
        <v>2010</v>
      </c>
      <c r="D44" s="17"/>
      <c r="E44" s="46">
        <v>0.35</v>
      </c>
      <c r="F44" s="46">
        <v>0.35</v>
      </c>
      <c r="G44" s="20">
        <v>0.32500000000000001</v>
      </c>
      <c r="H44" s="47"/>
      <c r="I44" s="47"/>
      <c r="J44" s="17"/>
      <c r="K44" s="46">
        <v>0.35</v>
      </c>
      <c r="L44" s="46">
        <v>0.35</v>
      </c>
      <c r="M44" s="20">
        <v>0.55000000000000004</v>
      </c>
      <c r="N44" s="47"/>
      <c r="O44" s="47"/>
      <c r="P44" s="44"/>
      <c r="Q44" s="46">
        <v>0.8</v>
      </c>
      <c r="R44" s="46">
        <v>0.8</v>
      </c>
      <c r="S44" s="52">
        <v>1.2</v>
      </c>
      <c r="T44" s="47"/>
      <c r="U44" s="47"/>
      <c r="V44" s="47"/>
      <c r="X44" s="17"/>
      <c r="Y44" s="46">
        <v>3.5</v>
      </c>
      <c r="Z44" s="46">
        <v>3.5</v>
      </c>
      <c r="AA44" s="20">
        <v>11</v>
      </c>
      <c r="AB44" s="47"/>
      <c r="AC44" s="47"/>
      <c r="AD44" s="47"/>
      <c r="AE44" s="17"/>
      <c r="AF44" s="46">
        <v>4</v>
      </c>
      <c r="AG44" s="46">
        <v>4.5999999999999996</v>
      </c>
      <c r="AH44" s="20">
        <v>6.5</v>
      </c>
      <c r="AI44" s="47"/>
      <c r="AJ44" s="47"/>
      <c r="AK44" s="17"/>
      <c r="AL44" s="46">
        <v>0.05</v>
      </c>
      <c r="AN44" s="20">
        <f>0.8*$AL$39</f>
        <v>4.8000000000000001E-2</v>
      </c>
      <c r="AO44" s="47"/>
      <c r="AP44" s="47"/>
    </row>
    <row r="45" spans="2:42" x14ac:dyDescent="0.25">
      <c r="C45" s="239">
        <v>2011</v>
      </c>
      <c r="D45" s="17"/>
      <c r="G45" s="20">
        <v>0.32500000000000001</v>
      </c>
      <c r="H45" s="47"/>
      <c r="I45" s="47"/>
      <c r="J45" s="17"/>
      <c r="M45" s="20">
        <v>0.55000000000000004</v>
      </c>
      <c r="N45" s="47"/>
      <c r="O45" s="47"/>
      <c r="P45" s="44"/>
      <c r="S45" s="52">
        <v>1.2</v>
      </c>
      <c r="T45" s="47"/>
      <c r="U45" s="47"/>
      <c r="V45" s="47"/>
      <c r="X45" s="17"/>
      <c r="AA45" s="20">
        <v>11</v>
      </c>
      <c r="AB45" s="47"/>
      <c r="AC45" s="47"/>
      <c r="AD45" s="47"/>
      <c r="AE45" s="17"/>
      <c r="AH45" s="20">
        <v>6.5</v>
      </c>
      <c r="AI45" s="47"/>
      <c r="AJ45" s="47"/>
      <c r="AK45" s="17"/>
      <c r="AN45" s="20">
        <f>0.8*$AL$39</f>
        <v>4.8000000000000001E-2</v>
      </c>
      <c r="AO45" s="47"/>
      <c r="AP45" s="47"/>
    </row>
    <row r="46" spans="2:42" x14ac:dyDescent="0.25">
      <c r="C46" s="239">
        <v>2012</v>
      </c>
      <c r="D46" s="17"/>
      <c r="F46" s="46">
        <v>0.35</v>
      </c>
      <c r="G46" s="20">
        <v>0.32500000000000001</v>
      </c>
      <c r="H46" s="47"/>
      <c r="I46" s="47"/>
      <c r="J46" s="17"/>
      <c r="L46" s="46">
        <v>0.35</v>
      </c>
      <c r="M46" s="20">
        <v>0.55000000000000004</v>
      </c>
      <c r="N46" s="47"/>
      <c r="O46" s="47"/>
      <c r="P46" s="44"/>
      <c r="R46" s="46">
        <v>0.8</v>
      </c>
      <c r="S46" s="52">
        <v>1.2</v>
      </c>
      <c r="T46" s="47"/>
      <c r="U46" s="47"/>
      <c r="V46" s="47"/>
      <c r="X46" s="17"/>
      <c r="Z46" s="46">
        <v>3.5</v>
      </c>
      <c r="AA46" s="20">
        <v>11</v>
      </c>
      <c r="AB46" s="47"/>
      <c r="AC46" s="47"/>
      <c r="AD46" s="47"/>
      <c r="AE46" s="17"/>
      <c r="AG46" s="46">
        <v>4.5999999999999996</v>
      </c>
      <c r="AH46" s="20">
        <v>6.5</v>
      </c>
      <c r="AI46" s="47"/>
      <c r="AJ46" s="47"/>
      <c r="AK46" s="17"/>
      <c r="AN46" s="20">
        <f>0.8*$AL$39</f>
        <v>4.8000000000000001E-2</v>
      </c>
      <c r="AO46" s="47"/>
      <c r="AP46" s="47"/>
    </row>
    <row r="47" spans="2:42" x14ac:dyDescent="0.25">
      <c r="C47" s="239">
        <v>2013</v>
      </c>
      <c r="D47" s="17"/>
      <c r="E47" s="46">
        <v>0.35</v>
      </c>
      <c r="F47" s="46">
        <v>0.35</v>
      </c>
      <c r="G47" s="46">
        <v>0.27500000000000002</v>
      </c>
      <c r="H47" s="47"/>
      <c r="I47" s="47"/>
      <c r="J47" s="17"/>
      <c r="K47" s="46">
        <v>0.35</v>
      </c>
      <c r="L47" s="46">
        <v>0.35</v>
      </c>
      <c r="M47" s="46">
        <v>0.45</v>
      </c>
      <c r="N47" s="47"/>
      <c r="O47" s="47"/>
      <c r="P47" s="44"/>
      <c r="Q47" s="46">
        <v>0.8</v>
      </c>
      <c r="R47" s="46">
        <v>0.8</v>
      </c>
      <c r="S47" s="53">
        <v>1.05</v>
      </c>
      <c r="T47" s="200">
        <v>1</v>
      </c>
      <c r="U47" s="47"/>
      <c r="V47" s="47"/>
      <c r="X47" s="17"/>
      <c r="Y47" s="46">
        <v>3.5</v>
      </c>
      <c r="Z47" s="46">
        <v>3.5</v>
      </c>
      <c r="AA47" s="46">
        <v>9</v>
      </c>
      <c r="AB47" s="212">
        <v>7.6</v>
      </c>
      <c r="AC47" s="200">
        <v>7.8</v>
      </c>
      <c r="AD47" s="47"/>
      <c r="AE47" s="17"/>
      <c r="AF47" s="46">
        <v>4</v>
      </c>
      <c r="AG47" s="46">
        <v>4.5999999999999996</v>
      </c>
      <c r="AH47" s="46">
        <v>5</v>
      </c>
      <c r="AI47" s="200">
        <v>6.5</v>
      </c>
      <c r="AJ47" s="47"/>
      <c r="AK47" s="17"/>
      <c r="AL47" s="46">
        <v>0.05</v>
      </c>
      <c r="AN47" s="46"/>
      <c r="AO47" s="47"/>
      <c r="AP47" s="47"/>
    </row>
    <row r="48" spans="2:42" x14ac:dyDescent="0.25">
      <c r="C48" s="239">
        <v>2014</v>
      </c>
      <c r="D48" s="17"/>
      <c r="G48" s="46">
        <v>0.27500000000000002</v>
      </c>
      <c r="H48" s="47"/>
      <c r="I48" s="47"/>
      <c r="J48" s="17"/>
      <c r="M48" s="46">
        <v>0.45</v>
      </c>
      <c r="N48" s="47"/>
      <c r="O48" s="47"/>
      <c r="P48" s="44"/>
      <c r="S48" s="53">
        <v>1.05</v>
      </c>
      <c r="T48" s="201">
        <v>1</v>
      </c>
      <c r="U48" s="47"/>
      <c r="V48" s="47"/>
      <c r="X48" s="17"/>
      <c r="AA48" s="46">
        <v>9</v>
      </c>
      <c r="AB48" s="206">
        <v>7.6</v>
      </c>
      <c r="AC48" s="201">
        <v>7.8</v>
      </c>
      <c r="AD48" s="47"/>
      <c r="AE48" s="17"/>
      <c r="AH48" s="46">
        <v>5</v>
      </c>
      <c r="AI48" s="201">
        <v>6.5</v>
      </c>
      <c r="AJ48" s="47"/>
      <c r="AK48" s="17"/>
      <c r="AN48" s="46"/>
      <c r="AO48" s="47"/>
      <c r="AP48" s="47"/>
    </row>
    <row r="49" spans="3:42" x14ac:dyDescent="0.25">
      <c r="C49" s="239">
        <v>2015</v>
      </c>
      <c r="D49" s="17"/>
      <c r="F49" s="46">
        <v>0.35</v>
      </c>
      <c r="G49" s="46">
        <v>0.27500000000000002</v>
      </c>
      <c r="I49" s="47"/>
      <c r="J49" s="17"/>
      <c r="L49" s="46">
        <v>0.35</v>
      </c>
      <c r="M49" s="46">
        <v>0.45</v>
      </c>
      <c r="O49" s="47"/>
      <c r="P49" s="44"/>
      <c r="R49" s="46">
        <v>0.8</v>
      </c>
      <c r="S49" s="53">
        <v>1.05</v>
      </c>
      <c r="T49" s="206">
        <v>1</v>
      </c>
      <c r="U49" s="203">
        <v>1.2</v>
      </c>
      <c r="V49" s="47"/>
      <c r="X49" s="17"/>
      <c r="Z49" s="46">
        <v>3.5</v>
      </c>
      <c r="AA49" s="46">
        <v>9</v>
      </c>
      <c r="AB49" s="207">
        <v>7</v>
      </c>
      <c r="AC49" s="202">
        <v>7.3</v>
      </c>
      <c r="AD49" s="47"/>
      <c r="AE49" s="17"/>
      <c r="AG49" s="46">
        <v>4.5999999999999996</v>
      </c>
      <c r="AH49" s="46">
        <v>5</v>
      </c>
      <c r="AI49" s="201">
        <v>6.5</v>
      </c>
      <c r="AJ49" s="47"/>
      <c r="AK49" s="17"/>
      <c r="AN49" s="46"/>
      <c r="AP49" s="47"/>
    </row>
    <row r="50" spans="3:42" x14ac:dyDescent="0.25">
      <c r="C50" s="239">
        <v>2016</v>
      </c>
      <c r="D50" s="17"/>
      <c r="E50" s="46">
        <v>0.35</v>
      </c>
      <c r="F50" s="46">
        <v>0.35</v>
      </c>
      <c r="G50" s="46">
        <v>0.25</v>
      </c>
      <c r="I50" s="47"/>
      <c r="J50" s="17"/>
      <c r="K50" s="46">
        <v>0.35</v>
      </c>
      <c r="L50" s="46">
        <v>0.35</v>
      </c>
      <c r="M50" s="46">
        <v>0.32500000000000001</v>
      </c>
      <c r="O50" s="47"/>
      <c r="P50" s="44"/>
      <c r="Q50" s="46">
        <v>0.8</v>
      </c>
      <c r="R50" s="46">
        <v>0.8</v>
      </c>
      <c r="S50" s="46">
        <v>0.875</v>
      </c>
      <c r="T50" s="207">
        <v>0.9</v>
      </c>
      <c r="U50" s="202">
        <v>1.2</v>
      </c>
      <c r="V50" s="47"/>
      <c r="X50" s="17"/>
      <c r="Y50" s="46">
        <v>3.5</v>
      </c>
      <c r="Z50" s="46">
        <v>3.5</v>
      </c>
      <c r="AA50" s="46">
        <v>7</v>
      </c>
      <c r="AB50" s="207">
        <v>6.4</v>
      </c>
      <c r="AC50" s="202">
        <v>7</v>
      </c>
      <c r="AD50" s="47"/>
      <c r="AE50" s="17"/>
      <c r="AF50" s="46">
        <v>4</v>
      </c>
      <c r="AG50" s="46">
        <v>4.5999999999999996</v>
      </c>
      <c r="AH50" s="46">
        <v>3.5</v>
      </c>
      <c r="AI50" s="202">
        <v>6</v>
      </c>
      <c r="AJ50" s="47"/>
      <c r="AK50" s="17"/>
      <c r="AL50" s="46">
        <v>0.05</v>
      </c>
      <c r="AN50" s="46">
        <f>0.5*$AL$39</f>
        <v>0.03</v>
      </c>
      <c r="AP50" s="47"/>
    </row>
    <row r="51" spans="3:42" x14ac:dyDescent="0.25">
      <c r="C51" s="239">
        <v>2017</v>
      </c>
      <c r="D51" s="17"/>
      <c r="E51" s="47"/>
      <c r="G51" s="46">
        <v>0.25</v>
      </c>
      <c r="J51" s="17"/>
      <c r="K51" s="47"/>
      <c r="M51" s="46">
        <v>0.32500000000000001</v>
      </c>
      <c r="P51" s="44"/>
      <c r="Q51" s="47"/>
      <c r="S51" s="46">
        <v>0.875</v>
      </c>
      <c r="T51" s="207">
        <v>0.9</v>
      </c>
      <c r="U51" s="202">
        <v>1.2</v>
      </c>
      <c r="X51" s="17"/>
      <c r="Y51" s="47"/>
      <c r="AA51" s="46">
        <v>7</v>
      </c>
      <c r="AB51" s="207">
        <v>5.8</v>
      </c>
      <c r="AC51" s="202">
        <v>6.4</v>
      </c>
      <c r="AE51" s="17"/>
      <c r="AF51" s="47"/>
      <c r="AH51" s="46">
        <v>3.5</v>
      </c>
      <c r="AI51" s="202">
        <v>6</v>
      </c>
      <c r="AK51" s="17"/>
      <c r="AL51" s="47"/>
      <c r="AN51" s="46">
        <f>0.5*$AL$39</f>
        <v>0.03</v>
      </c>
    </row>
    <row r="52" spans="3:42" x14ac:dyDescent="0.25">
      <c r="C52" s="239">
        <v>2018</v>
      </c>
      <c r="D52" s="17"/>
      <c r="E52" s="47"/>
      <c r="F52" s="46">
        <v>0.35</v>
      </c>
      <c r="G52" s="46">
        <v>0.25</v>
      </c>
      <c r="J52" s="17"/>
      <c r="K52" s="47"/>
      <c r="L52" s="46">
        <v>0.35</v>
      </c>
      <c r="M52" s="46">
        <v>0.32500000000000001</v>
      </c>
      <c r="P52" s="44"/>
      <c r="Q52" s="47"/>
      <c r="R52" s="46">
        <v>0.8</v>
      </c>
      <c r="S52" s="46">
        <v>0.875</v>
      </c>
      <c r="T52" s="207">
        <v>0.9</v>
      </c>
      <c r="U52" s="204">
        <v>1.2</v>
      </c>
      <c r="X52" s="17"/>
      <c r="Y52" s="47"/>
      <c r="Z52" s="46">
        <v>3.5</v>
      </c>
      <c r="AA52" s="46">
        <v>7</v>
      </c>
      <c r="AB52" s="207">
        <v>5.8</v>
      </c>
      <c r="AC52" s="202">
        <v>6.4</v>
      </c>
      <c r="AE52" s="17"/>
      <c r="AF52" s="47"/>
      <c r="AG52" s="46">
        <v>4.5999999999999996</v>
      </c>
      <c r="AH52" s="46">
        <v>3.5</v>
      </c>
      <c r="AI52" s="202">
        <v>6</v>
      </c>
      <c r="AK52" s="17"/>
      <c r="AL52" s="47"/>
      <c r="AN52" s="46">
        <f>0.5*$AL$39</f>
        <v>0.03</v>
      </c>
    </row>
    <row r="53" spans="3:42" x14ac:dyDescent="0.25">
      <c r="C53" s="239">
        <v>2019</v>
      </c>
      <c r="D53" s="17"/>
      <c r="E53" s="47"/>
      <c r="F53" s="47"/>
      <c r="G53" s="46">
        <v>0.25</v>
      </c>
      <c r="J53" s="17"/>
      <c r="K53" s="47"/>
      <c r="L53" s="47"/>
      <c r="M53" s="46">
        <v>0.32500000000000001</v>
      </c>
      <c r="P53" s="44"/>
      <c r="Q53" s="47"/>
      <c r="R53" s="47"/>
      <c r="S53" s="46">
        <v>0.875</v>
      </c>
      <c r="T53" s="207">
        <v>0.8</v>
      </c>
      <c r="U53" s="204">
        <v>1.2</v>
      </c>
      <c r="X53" s="17"/>
      <c r="Y53" s="47"/>
      <c r="Z53" s="47"/>
      <c r="AA53" s="46">
        <v>7</v>
      </c>
      <c r="AB53" s="213">
        <v>5</v>
      </c>
      <c r="AC53" s="204">
        <v>5.8</v>
      </c>
      <c r="AE53" s="17"/>
      <c r="AF53" s="47"/>
      <c r="AG53" s="47"/>
      <c r="AH53" s="46">
        <v>3.5</v>
      </c>
      <c r="AI53" s="204">
        <v>5</v>
      </c>
      <c r="AK53" s="17"/>
      <c r="AL53" s="47"/>
      <c r="AM53" s="47"/>
      <c r="AN53" s="46">
        <f>0.5*$AL$39</f>
        <v>0.03</v>
      </c>
    </row>
    <row r="54" spans="3:42" x14ac:dyDescent="0.25">
      <c r="C54" s="239">
        <v>2020</v>
      </c>
      <c r="D54" s="17"/>
      <c r="E54" s="47"/>
      <c r="F54" s="47"/>
      <c r="G54" s="46">
        <v>0.25</v>
      </c>
      <c r="J54" s="17"/>
      <c r="K54" s="47"/>
      <c r="L54" s="47"/>
      <c r="M54" s="46">
        <v>0.32500000000000001</v>
      </c>
      <c r="P54" s="44"/>
      <c r="Q54" s="47"/>
      <c r="R54" s="47"/>
      <c r="S54" s="46">
        <v>0.875</v>
      </c>
      <c r="T54" s="208">
        <v>0.8</v>
      </c>
      <c r="U54" s="205">
        <v>1.2</v>
      </c>
      <c r="X54" s="17"/>
      <c r="Y54" s="47"/>
      <c r="Z54" s="47"/>
      <c r="AA54" s="46">
        <v>7</v>
      </c>
      <c r="AB54" s="214">
        <v>4.8</v>
      </c>
      <c r="AC54" s="205">
        <v>5.5</v>
      </c>
      <c r="AE54" s="17"/>
      <c r="AF54" s="47"/>
      <c r="AG54" s="47"/>
      <c r="AH54" s="46">
        <v>3.5</v>
      </c>
      <c r="AI54" s="205">
        <v>5</v>
      </c>
      <c r="AK54" s="17"/>
      <c r="AL54" s="47"/>
      <c r="AM54" s="47"/>
      <c r="AN54" s="46">
        <f>0.5*$AL$39</f>
        <v>0.03</v>
      </c>
    </row>
    <row r="55" spans="3:42" x14ac:dyDescent="0.25">
      <c r="D55" s="51"/>
      <c r="E55" s="51"/>
      <c r="F55" s="51"/>
      <c r="G55" s="51"/>
      <c r="H55" s="51"/>
      <c r="I55" s="51" t="s">
        <v>74</v>
      </c>
      <c r="J55" s="51"/>
      <c r="K55" s="51"/>
      <c r="L55" s="51"/>
      <c r="M55" s="51"/>
      <c r="N55" s="51"/>
      <c r="O55" s="51" t="s">
        <v>74</v>
      </c>
      <c r="P55" s="51"/>
      <c r="Q55" s="51"/>
      <c r="R55" s="51"/>
      <c r="S55" s="51"/>
      <c r="T55" s="51"/>
      <c r="U55" s="51"/>
      <c r="V55" s="51" t="s">
        <v>74</v>
      </c>
      <c r="X55" s="51"/>
      <c r="Y55" s="51"/>
      <c r="Z55" s="51"/>
      <c r="AA55" s="51"/>
      <c r="AB55" s="51"/>
      <c r="AC55" s="51"/>
      <c r="AD55" s="51" t="s">
        <v>74</v>
      </c>
      <c r="AE55" s="51"/>
      <c r="AF55" s="51"/>
      <c r="AG55" s="51"/>
      <c r="AH55" s="51"/>
      <c r="AI55" s="51"/>
      <c r="AJ55" s="51" t="s">
        <v>74</v>
      </c>
      <c r="AK55" s="51"/>
      <c r="AL55" s="51"/>
      <c r="AM55" s="51" t="s">
        <v>74</v>
      </c>
      <c r="AN55" s="51"/>
      <c r="AO55" s="51" t="s">
        <v>74</v>
      </c>
      <c r="AP55" s="51" t="s">
        <v>74</v>
      </c>
    </row>
  </sheetData>
  <mergeCells count="12">
    <mergeCell ref="AR5:AW5"/>
    <mergeCell ref="AY5:BD5"/>
    <mergeCell ref="AZ9:AZ18"/>
    <mergeCell ref="BA11:BA17"/>
    <mergeCell ref="BB15:BB18"/>
    <mergeCell ref="BA18:BA28"/>
    <mergeCell ref="BB19:BB28"/>
    <mergeCell ref="K2:V3"/>
    <mergeCell ref="D5:V5"/>
    <mergeCell ref="D31:V31"/>
    <mergeCell ref="X31:AP31"/>
    <mergeCell ref="X5:AP5"/>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E470AE-B65F-4238-BD1E-FAAD4FAF5E21}">
  <sheetPr>
    <tabColor rgb="FF44546A"/>
  </sheetPr>
  <dimension ref="A2:M50"/>
  <sheetViews>
    <sheetView workbookViewId="0">
      <selection activeCell="J7" sqref="J7"/>
    </sheetView>
  </sheetViews>
  <sheetFormatPr defaultRowHeight="15.75" x14ac:dyDescent="0.25"/>
  <cols>
    <col min="2" max="2" width="19.375" customWidth="1"/>
    <col min="8" max="8" width="15.25" customWidth="1"/>
  </cols>
  <sheetData>
    <row r="2" spans="1:8" x14ac:dyDescent="0.25">
      <c r="B2" s="237" t="s">
        <v>507</v>
      </c>
      <c r="C2" s="167" t="s">
        <v>645</v>
      </c>
    </row>
    <row r="3" spans="1:8" x14ac:dyDescent="0.25">
      <c r="C3" s="167" t="s">
        <v>646</v>
      </c>
    </row>
    <row r="4" spans="1:8" x14ac:dyDescent="0.25">
      <c r="C4" t="s">
        <v>647</v>
      </c>
    </row>
    <row r="5" spans="1:8" x14ac:dyDescent="0.25">
      <c r="B5" s="230" t="s">
        <v>648</v>
      </c>
      <c r="C5" s="230" t="s">
        <v>649</v>
      </c>
    </row>
    <row r="6" spans="1:8" x14ac:dyDescent="0.25">
      <c r="B6" s="398" t="s">
        <v>650</v>
      </c>
      <c r="C6" s="399"/>
      <c r="D6" s="399"/>
      <c r="E6" s="399"/>
      <c r="F6" s="399"/>
    </row>
    <row r="7" spans="1:8" x14ac:dyDescent="0.25">
      <c r="B7" s="182"/>
      <c r="C7" s="182" t="s">
        <v>651</v>
      </c>
      <c r="D7" s="182" t="s">
        <v>652</v>
      </c>
      <c r="E7" s="182" t="s">
        <v>653</v>
      </c>
      <c r="F7" s="182" t="s">
        <v>654</v>
      </c>
      <c r="G7" s="182"/>
      <c r="H7" s="182"/>
    </row>
    <row r="8" spans="1:8" ht="21" x14ac:dyDescent="0.35">
      <c r="A8" s="11"/>
      <c r="B8" s="183">
        <v>2000</v>
      </c>
      <c r="C8" s="184">
        <v>1274</v>
      </c>
      <c r="D8" s="184">
        <v>1373</v>
      </c>
      <c r="E8" s="184">
        <v>1457</v>
      </c>
      <c r="F8" s="184">
        <v>1448</v>
      </c>
      <c r="G8" s="182"/>
      <c r="H8" s="182"/>
    </row>
    <row r="9" spans="1:8" ht="21" x14ac:dyDescent="0.35">
      <c r="B9" s="183">
        <v>2001</v>
      </c>
      <c r="C9" s="184">
        <v>1250</v>
      </c>
      <c r="D9" s="184">
        <v>988</v>
      </c>
      <c r="E9" s="184">
        <v>824</v>
      </c>
      <c r="F9" s="184">
        <v>878</v>
      </c>
      <c r="G9" s="182"/>
      <c r="H9" s="182"/>
    </row>
    <row r="10" spans="1:8" ht="21" x14ac:dyDescent="0.35">
      <c r="B10" s="183">
        <v>2002</v>
      </c>
      <c r="C10" s="184">
        <v>1011</v>
      </c>
      <c r="D10" s="184">
        <v>1273</v>
      </c>
      <c r="E10" s="184">
        <v>1263</v>
      </c>
      <c r="F10" s="184">
        <v>1134</v>
      </c>
      <c r="G10" s="182"/>
      <c r="H10" s="182"/>
    </row>
    <row r="11" spans="1:8" ht="21" x14ac:dyDescent="0.35">
      <c r="B11" s="183">
        <v>2003</v>
      </c>
      <c r="C11" s="184">
        <v>1175</v>
      </c>
      <c r="D11" s="184">
        <v>1273</v>
      </c>
      <c r="E11" s="184">
        <v>1307</v>
      </c>
      <c r="F11" s="184">
        <v>1392</v>
      </c>
      <c r="G11" s="182"/>
      <c r="H11" s="182"/>
    </row>
    <row r="12" spans="1:8" ht="21" x14ac:dyDescent="0.35">
      <c r="B12" s="183">
        <v>2004</v>
      </c>
      <c r="C12" s="184">
        <v>1529</v>
      </c>
      <c r="D12" s="184">
        <v>1619</v>
      </c>
      <c r="E12" s="184">
        <v>1629</v>
      </c>
      <c r="F12" s="184">
        <v>1486</v>
      </c>
      <c r="G12" s="182"/>
      <c r="H12" s="182"/>
    </row>
    <row r="13" spans="1:8" ht="21" x14ac:dyDescent="0.35">
      <c r="B13" s="183">
        <v>2005</v>
      </c>
      <c r="C13" s="184">
        <v>1465</v>
      </c>
      <c r="D13" s="184">
        <v>1606</v>
      </c>
      <c r="E13" s="184">
        <v>1748</v>
      </c>
      <c r="F13" s="184">
        <v>1826</v>
      </c>
      <c r="G13" s="182"/>
      <c r="H13" s="182"/>
    </row>
    <row r="14" spans="1:8" ht="21" x14ac:dyDescent="0.35">
      <c r="B14" s="183">
        <v>2006</v>
      </c>
      <c r="C14" s="184">
        <v>1884</v>
      </c>
      <c r="D14" s="184">
        <v>1966</v>
      </c>
      <c r="E14" s="184">
        <v>2074</v>
      </c>
      <c r="F14" s="184">
        <v>2070</v>
      </c>
      <c r="G14" s="182"/>
      <c r="H14" s="182"/>
    </row>
    <row r="15" spans="1:8" ht="21" x14ac:dyDescent="0.35">
      <c r="B15" s="183">
        <v>2007</v>
      </c>
      <c r="C15" s="184">
        <v>2100</v>
      </c>
      <c r="D15" s="184">
        <v>2201</v>
      </c>
      <c r="E15" s="184">
        <v>2174</v>
      </c>
      <c r="F15" s="184">
        <v>2185</v>
      </c>
      <c r="G15" s="182"/>
      <c r="H15" s="182"/>
    </row>
    <row r="16" spans="1:8" ht="21" x14ac:dyDescent="0.35">
      <c r="B16" s="183">
        <v>2008</v>
      </c>
      <c r="C16" s="184">
        <v>2163</v>
      </c>
      <c r="D16" s="184">
        <v>2303</v>
      </c>
      <c r="E16" s="184">
        <v>2243</v>
      </c>
      <c r="F16" s="184">
        <v>1428</v>
      </c>
      <c r="G16" s="182"/>
      <c r="H16" s="182"/>
    </row>
    <row r="17" spans="1:13" ht="21" x14ac:dyDescent="0.35">
      <c r="B17" s="183">
        <v>2009</v>
      </c>
      <c r="C17" s="184">
        <v>940</v>
      </c>
      <c r="D17" s="184">
        <v>1686</v>
      </c>
      <c r="E17" s="184">
        <v>1972</v>
      </c>
      <c r="F17" s="184">
        <v>2109</v>
      </c>
      <c r="G17" s="182"/>
      <c r="H17" s="182"/>
    </row>
    <row r="18" spans="1:13" ht="21" x14ac:dyDescent="0.35">
      <c r="B18" s="183">
        <v>2010</v>
      </c>
      <c r="C18" s="184">
        <v>2214</v>
      </c>
      <c r="D18" s="184">
        <v>2365</v>
      </c>
      <c r="E18" s="184">
        <v>2489</v>
      </c>
      <c r="F18" s="184">
        <v>2302</v>
      </c>
      <c r="G18" s="182"/>
      <c r="H18" s="182"/>
    </row>
    <row r="19" spans="1:13" ht="21" x14ac:dyDescent="0.35">
      <c r="B19" s="183">
        <v>2011</v>
      </c>
      <c r="C19" s="184">
        <v>2287</v>
      </c>
      <c r="D19" s="184">
        <v>2393</v>
      </c>
      <c r="E19" s="184">
        <v>2354</v>
      </c>
      <c r="F19" s="184">
        <v>2009</v>
      </c>
      <c r="G19" s="182"/>
      <c r="H19" s="182"/>
    </row>
    <row r="20" spans="1:13" ht="21" x14ac:dyDescent="0.35">
      <c r="B20" s="183">
        <v>2012</v>
      </c>
      <c r="C20" s="184">
        <v>2033</v>
      </c>
      <c r="D20" s="184">
        <v>2447</v>
      </c>
      <c r="E20" s="184">
        <v>2389</v>
      </c>
      <c r="F20" s="184">
        <v>2162</v>
      </c>
      <c r="G20" s="182"/>
      <c r="H20" s="182"/>
    </row>
    <row r="21" spans="1:13" ht="21" x14ac:dyDescent="0.35">
      <c r="B21" s="183">
        <v>2013</v>
      </c>
      <c r="C21" s="184">
        <v>2128</v>
      </c>
      <c r="D21" s="184">
        <v>2390</v>
      </c>
      <c r="E21" s="184">
        <v>2341</v>
      </c>
      <c r="F21" s="184">
        <v>2208</v>
      </c>
      <c r="G21" s="182"/>
      <c r="H21" s="182"/>
    </row>
    <row r="22" spans="1:13" ht="21" x14ac:dyDescent="0.35">
      <c r="B22" s="183">
        <v>2014</v>
      </c>
      <c r="C22" s="184">
        <v>2363</v>
      </c>
      <c r="D22" s="184">
        <v>2587</v>
      </c>
      <c r="E22" s="184">
        <v>2597</v>
      </c>
      <c r="F22" s="184">
        <v>2550</v>
      </c>
      <c r="G22" s="182"/>
      <c r="H22" s="182"/>
    </row>
    <row r="23" spans="1:13" ht="21" x14ac:dyDescent="0.35">
      <c r="B23" s="183">
        <v>2015</v>
      </c>
      <c r="C23" s="184">
        <v>2637</v>
      </c>
      <c r="D23" s="184">
        <v>2702</v>
      </c>
      <c r="E23" s="184">
        <v>2591</v>
      </c>
      <c r="F23" s="184">
        <v>2504</v>
      </c>
      <c r="G23" s="182"/>
    </row>
    <row r="24" spans="1:13" ht="21" x14ac:dyDescent="0.35">
      <c r="B24" s="183">
        <v>2016</v>
      </c>
      <c r="C24" s="184">
        <v>2538</v>
      </c>
      <c r="D24" s="184">
        <v>2706</v>
      </c>
      <c r="E24" s="184">
        <v>2730</v>
      </c>
      <c r="F24" s="184">
        <v>2764</v>
      </c>
      <c r="G24" s="182"/>
    </row>
    <row r="25" spans="1:13" ht="21" x14ac:dyDescent="0.35">
      <c r="B25" s="183">
        <v>2017</v>
      </c>
      <c r="C25" s="184">
        <v>2858</v>
      </c>
      <c r="D25" s="184">
        <v>2978</v>
      </c>
      <c r="E25" s="184">
        <v>2997</v>
      </c>
      <c r="F25" s="184">
        <v>2977</v>
      </c>
      <c r="G25" s="182"/>
    </row>
    <row r="26" spans="1:13" ht="21" x14ac:dyDescent="0.35">
      <c r="B26" s="183">
        <v>2018</v>
      </c>
      <c r="C26" s="184">
        <v>3084</v>
      </c>
      <c r="D26" s="184">
        <v>3160</v>
      </c>
      <c r="E26" s="184">
        <v>3255</v>
      </c>
      <c r="F26" s="184">
        <v>3234</v>
      </c>
      <c r="G26" s="182"/>
      <c r="M26" s="182"/>
    </row>
    <row r="27" spans="1:13" ht="21" x14ac:dyDescent="0.35">
      <c r="B27" s="183">
        <v>2019</v>
      </c>
      <c r="C27" s="184">
        <v>3051</v>
      </c>
      <c r="D27" s="184">
        <v>2983</v>
      </c>
      <c r="E27" s="184">
        <v>2932</v>
      </c>
      <c r="F27" s="184">
        <v>2844</v>
      </c>
      <c r="G27" s="182"/>
      <c r="M27" s="182"/>
    </row>
    <row r="28" spans="1:13" ht="21" x14ac:dyDescent="0.35">
      <c r="B28" s="183">
        <v>2020</v>
      </c>
      <c r="C28" s="184">
        <v>2920</v>
      </c>
      <c r="D28" s="184">
        <v>3152</v>
      </c>
      <c r="E28" s="184">
        <v>3135</v>
      </c>
      <c r="F28" s="185">
        <v>3200</v>
      </c>
      <c r="G28" s="182"/>
      <c r="M28" s="182"/>
    </row>
    <row r="29" spans="1:13" x14ac:dyDescent="0.25">
      <c r="B29" s="400" t="s">
        <v>655</v>
      </c>
      <c r="C29" s="400"/>
      <c r="D29" s="400"/>
      <c r="E29" s="400"/>
      <c r="F29" s="400"/>
      <c r="G29" s="182"/>
      <c r="H29" s="238" t="s">
        <v>656</v>
      </c>
      <c r="M29" s="182"/>
    </row>
    <row r="30" spans="1:13" ht="21" x14ac:dyDescent="0.35">
      <c r="A30" s="11"/>
      <c r="B30" s="183">
        <v>2000</v>
      </c>
      <c r="C30" s="182">
        <f>C8*Parameters!$C$13</f>
        <v>8219.3384000000005</v>
      </c>
      <c r="D30" s="182">
        <f>D8*Parameters!$C$13</f>
        <v>8858.0468000000001</v>
      </c>
      <c r="E30" s="182">
        <f>E8*Parameters!$C$13</f>
        <v>9399.9812000000002</v>
      </c>
      <c r="F30" s="182">
        <f>F8*Parameters!$C$13</f>
        <v>9341.9168000000009</v>
      </c>
      <c r="G30" s="182"/>
      <c r="H30" s="182">
        <f>SUM(C30:F30)</f>
        <v>35819.283199999998</v>
      </c>
      <c r="M30" s="182"/>
    </row>
    <row r="31" spans="1:13" ht="21" x14ac:dyDescent="0.35">
      <c r="B31" s="183">
        <v>2001</v>
      </c>
      <c r="C31" s="182">
        <f>C9*Parameters!$C$13</f>
        <v>8064.5</v>
      </c>
      <c r="D31" s="182">
        <f>D9*Parameters!$C$13</f>
        <v>6374.1808000000001</v>
      </c>
      <c r="E31" s="182">
        <f>E9*Parameters!$C$13</f>
        <v>5316.1184000000003</v>
      </c>
      <c r="F31" s="182">
        <f>F9*Parameters!$C$13</f>
        <v>5664.5047999999997</v>
      </c>
      <c r="G31" s="182"/>
      <c r="H31" s="182">
        <f t="shared" ref="H31:H50" si="0">SUM(C31:F31)</f>
        <v>25419.304</v>
      </c>
      <c r="M31" s="182"/>
    </row>
    <row r="32" spans="1:13" ht="21" x14ac:dyDescent="0.35">
      <c r="B32" s="183">
        <v>2002</v>
      </c>
      <c r="C32" s="182">
        <f>C10*Parameters!$C$13</f>
        <v>6522.5676000000003</v>
      </c>
      <c r="D32" s="182">
        <f>D10*Parameters!$C$13</f>
        <v>8212.8868000000002</v>
      </c>
      <c r="E32" s="182">
        <f>E10*Parameters!$C$13</f>
        <v>8148.3707999999997</v>
      </c>
      <c r="F32" s="182">
        <f>F10*Parameters!$C$13</f>
        <v>7316.1144000000004</v>
      </c>
      <c r="G32" s="182"/>
      <c r="H32" s="182">
        <f t="shared" si="0"/>
        <v>30199.939599999998</v>
      </c>
    </row>
    <row r="33" spans="2:8" ht="21" x14ac:dyDescent="0.35">
      <c r="B33" s="183">
        <v>2003</v>
      </c>
      <c r="C33" s="182">
        <f>C11*Parameters!$C$13</f>
        <v>7580.63</v>
      </c>
      <c r="D33" s="182">
        <f>D11*Parameters!$C$13</f>
        <v>8212.8868000000002</v>
      </c>
      <c r="E33" s="182">
        <f>E11*Parameters!$C$13</f>
        <v>8432.2412000000004</v>
      </c>
      <c r="F33" s="182">
        <f>F11*Parameters!$C$13</f>
        <v>8980.6272000000008</v>
      </c>
      <c r="G33" s="182"/>
      <c r="H33" s="182">
        <f t="shared" si="0"/>
        <v>33206.385200000004</v>
      </c>
    </row>
    <row r="34" spans="2:8" ht="21" x14ac:dyDescent="0.35">
      <c r="B34" s="183">
        <v>2004</v>
      </c>
      <c r="C34" s="182">
        <f>C12*Parameters!$C$13</f>
        <v>9864.4964</v>
      </c>
      <c r="D34" s="182">
        <f>D12*Parameters!$C$13</f>
        <v>10445.1404</v>
      </c>
      <c r="E34" s="182">
        <f>E12*Parameters!$C$13</f>
        <v>10509.6564</v>
      </c>
      <c r="F34" s="182">
        <f>F12*Parameters!$C$13</f>
        <v>9587.0776000000005</v>
      </c>
      <c r="G34" s="182"/>
      <c r="H34" s="182">
        <f t="shared" si="0"/>
        <v>40406.370800000004</v>
      </c>
    </row>
    <row r="35" spans="2:8" ht="21" x14ac:dyDescent="0.35">
      <c r="B35" s="183">
        <v>2005</v>
      </c>
      <c r="C35" s="182">
        <f>C13*Parameters!$C$13</f>
        <v>9451.5939999999991</v>
      </c>
      <c r="D35" s="182">
        <f>D13*Parameters!$C$13</f>
        <v>10361.2696</v>
      </c>
      <c r="E35" s="182">
        <f>E13*Parameters!$C$13</f>
        <v>11277.3968</v>
      </c>
      <c r="F35" s="182">
        <f>F13*Parameters!$C$13</f>
        <v>11780.6216</v>
      </c>
      <c r="G35" s="182"/>
      <c r="H35" s="182">
        <f t="shared" si="0"/>
        <v>42870.881999999998</v>
      </c>
    </row>
    <row r="36" spans="2:8" ht="21" x14ac:dyDescent="0.35">
      <c r="B36" s="183">
        <v>2006</v>
      </c>
      <c r="C36" s="182">
        <f>C14*Parameters!$C$13</f>
        <v>12154.814399999999</v>
      </c>
      <c r="D36" s="182">
        <f>D14*Parameters!$C$13</f>
        <v>12683.845600000001</v>
      </c>
      <c r="E36" s="182">
        <f>E14*Parameters!$C$13</f>
        <v>13380.618399999999</v>
      </c>
      <c r="F36" s="182">
        <f>F14*Parameters!$C$13</f>
        <v>13354.812</v>
      </c>
      <c r="G36" s="182"/>
      <c r="H36" s="182">
        <f t="shared" si="0"/>
        <v>51574.090399999994</v>
      </c>
    </row>
    <row r="37" spans="2:8" ht="21" x14ac:dyDescent="0.35">
      <c r="B37" s="183">
        <v>2007</v>
      </c>
      <c r="C37" s="182">
        <f>C15*Parameters!$C$13</f>
        <v>13548.36</v>
      </c>
      <c r="D37" s="182">
        <f>D15*Parameters!$C$13</f>
        <v>14199.971600000001</v>
      </c>
      <c r="E37" s="182">
        <f>E15*Parameters!$C$13</f>
        <v>14025.778399999999</v>
      </c>
      <c r="F37" s="182">
        <f>F15*Parameters!$C$13</f>
        <v>14096.745999999999</v>
      </c>
      <c r="G37" s="182"/>
      <c r="H37" s="182">
        <f t="shared" si="0"/>
        <v>55870.856</v>
      </c>
    </row>
    <row r="38" spans="2:8" ht="21" x14ac:dyDescent="0.35">
      <c r="B38" s="183">
        <v>2008</v>
      </c>
      <c r="C38" s="182">
        <f>C16*Parameters!$C$13</f>
        <v>13954.810799999999</v>
      </c>
      <c r="D38" s="182">
        <f>D16*Parameters!$C$13</f>
        <v>14858.034799999999</v>
      </c>
      <c r="E38" s="182">
        <f>E16*Parameters!$C$13</f>
        <v>14470.9388</v>
      </c>
      <c r="F38" s="182">
        <f>F16*Parameters!$C$13</f>
        <v>9212.8847999999998</v>
      </c>
      <c r="G38" s="182"/>
      <c r="H38" s="182">
        <f t="shared" si="0"/>
        <v>52496.669200000004</v>
      </c>
    </row>
    <row r="39" spans="2:8" ht="21" x14ac:dyDescent="0.35">
      <c r="B39" s="183">
        <v>2009</v>
      </c>
      <c r="C39" s="182">
        <f>C17*Parameters!$C$13</f>
        <v>6064.5039999999999</v>
      </c>
      <c r="D39" s="182">
        <f>D17*Parameters!$C$13</f>
        <v>10877.3976</v>
      </c>
      <c r="E39" s="182">
        <f>E17*Parameters!$C$13</f>
        <v>12722.555200000001</v>
      </c>
      <c r="F39" s="182">
        <f>F17*Parameters!$C$13</f>
        <v>13606.4244</v>
      </c>
      <c r="G39" s="182"/>
      <c r="H39" s="182">
        <f t="shared" si="0"/>
        <v>43270.881200000003</v>
      </c>
    </row>
    <row r="40" spans="2:8" ht="21" x14ac:dyDescent="0.35">
      <c r="B40" s="183">
        <v>2010</v>
      </c>
      <c r="C40" s="182">
        <f>C18*Parameters!$C$13</f>
        <v>14283.8424</v>
      </c>
      <c r="D40" s="182">
        <f>D18*Parameters!$C$13</f>
        <v>15258.034</v>
      </c>
      <c r="E40" s="182">
        <f>E18*Parameters!$C$13</f>
        <v>16058.0324</v>
      </c>
      <c r="F40" s="182">
        <f>F18*Parameters!$C$13</f>
        <v>14851.583199999999</v>
      </c>
      <c r="G40" s="182"/>
      <c r="H40" s="182">
        <f t="shared" si="0"/>
        <v>60451.492000000006</v>
      </c>
    </row>
    <row r="41" spans="2:8" ht="21" x14ac:dyDescent="0.35">
      <c r="B41" s="183">
        <v>2011</v>
      </c>
      <c r="C41" s="182">
        <f>C19*Parameters!$C$13</f>
        <v>14754.8092</v>
      </c>
      <c r="D41" s="182">
        <f>D19*Parameters!$C$13</f>
        <v>15438.6788</v>
      </c>
      <c r="E41" s="182">
        <f>E19*Parameters!$C$13</f>
        <v>15187.0664</v>
      </c>
      <c r="F41" s="182">
        <f>F19*Parameters!$C$13</f>
        <v>12961.2644</v>
      </c>
      <c r="G41" s="182"/>
      <c r="H41" s="182">
        <f t="shared" si="0"/>
        <v>58341.818799999994</v>
      </c>
    </row>
    <row r="42" spans="2:8" ht="21" x14ac:dyDescent="0.35">
      <c r="B42" s="183">
        <v>2012</v>
      </c>
      <c r="C42" s="182">
        <f>C20*Parameters!$C$13</f>
        <v>13116.102800000001</v>
      </c>
      <c r="D42" s="182">
        <f>D20*Parameters!$C$13</f>
        <v>15787.065199999999</v>
      </c>
      <c r="E42" s="182">
        <f>E20*Parameters!$C$13</f>
        <v>15412.8724</v>
      </c>
      <c r="F42" s="182">
        <f>F20*Parameters!$C$13</f>
        <v>13948.359200000001</v>
      </c>
      <c r="G42" s="182"/>
      <c r="H42" s="182">
        <f t="shared" si="0"/>
        <v>58264.399599999997</v>
      </c>
    </row>
    <row r="43" spans="2:8" ht="21" x14ac:dyDescent="0.35">
      <c r="B43" s="183">
        <v>2013</v>
      </c>
      <c r="C43" s="182">
        <f>C21*Parameters!$C$13</f>
        <v>13729.004800000001</v>
      </c>
      <c r="D43" s="182">
        <f>D21*Parameters!$C$13</f>
        <v>15419.324000000001</v>
      </c>
      <c r="E43" s="182">
        <f>E21*Parameters!$C$13</f>
        <v>15103.195599999999</v>
      </c>
      <c r="F43" s="182">
        <f>F21*Parameters!$C$13</f>
        <v>14245.132799999999</v>
      </c>
      <c r="G43" s="182"/>
      <c r="H43" s="182">
        <f>SUM(C43:F43)</f>
        <v>58496.657200000001</v>
      </c>
    </row>
    <row r="44" spans="2:8" ht="21" x14ac:dyDescent="0.35">
      <c r="B44" s="183">
        <v>2014</v>
      </c>
      <c r="C44" s="182">
        <f>C22*Parameters!$C$13</f>
        <v>15245.130800000001</v>
      </c>
      <c r="D44" s="182">
        <f>D22*Parameters!$C$13</f>
        <v>16690.289199999999</v>
      </c>
      <c r="E44" s="182">
        <f>E22*Parameters!$C$13</f>
        <v>16754.805199999999</v>
      </c>
      <c r="F44" s="182">
        <f>F22*Parameters!$C$13</f>
        <v>16451.580000000002</v>
      </c>
      <c r="G44" s="182"/>
      <c r="H44" s="182">
        <f t="shared" si="0"/>
        <v>65141.805200000003</v>
      </c>
    </row>
    <row r="45" spans="2:8" ht="21" x14ac:dyDescent="0.35">
      <c r="B45" s="183">
        <v>2015</v>
      </c>
      <c r="C45" s="182">
        <f>C23*Parameters!$C$13</f>
        <v>17012.869200000001</v>
      </c>
      <c r="D45" s="182">
        <f>D23*Parameters!$C$13</f>
        <v>17432.2232</v>
      </c>
      <c r="E45" s="182">
        <f>E23*Parameters!$C$13</f>
        <v>16716.095600000001</v>
      </c>
      <c r="F45" s="182">
        <f>F23*Parameters!$C$13</f>
        <v>16154.806399999999</v>
      </c>
      <c r="G45" s="182"/>
      <c r="H45" s="182">
        <f t="shared" si="0"/>
        <v>67315.994399999996</v>
      </c>
    </row>
    <row r="46" spans="2:8" ht="21" x14ac:dyDescent="0.35">
      <c r="B46" s="183">
        <v>2016</v>
      </c>
      <c r="C46" s="182">
        <f>C24*Parameters!$C$13</f>
        <v>16374.1608</v>
      </c>
      <c r="D46" s="182">
        <f>D24*Parameters!$C$13</f>
        <v>17458.029600000002</v>
      </c>
      <c r="E46" s="182">
        <f>E24*Parameters!$C$13</f>
        <v>17612.867999999999</v>
      </c>
      <c r="F46" s="182">
        <f>F24*Parameters!$C$13</f>
        <v>17832.222399999999</v>
      </c>
      <c r="G46" s="182"/>
      <c r="H46" s="182">
        <f t="shared" si="0"/>
        <v>69277.280799999993</v>
      </c>
    </row>
    <row r="47" spans="2:8" ht="21" x14ac:dyDescent="0.35">
      <c r="B47" s="183">
        <v>2017</v>
      </c>
      <c r="C47" s="182">
        <f>C25*Parameters!$C$13</f>
        <v>18438.6728</v>
      </c>
      <c r="D47" s="182">
        <f>D25*Parameters!$C$13</f>
        <v>19212.864799999999</v>
      </c>
      <c r="E47" s="182">
        <f>E25*Parameters!$C$13</f>
        <v>19335.445199999998</v>
      </c>
      <c r="F47" s="182">
        <f>F25*Parameters!$C$13</f>
        <v>19206.413199999999</v>
      </c>
      <c r="G47" s="182"/>
      <c r="H47" s="182">
        <f t="shared" si="0"/>
        <v>76193.395999999993</v>
      </c>
    </row>
    <row r="48" spans="2:8" ht="21" x14ac:dyDescent="0.35">
      <c r="B48" s="183">
        <v>2018</v>
      </c>
      <c r="C48" s="182">
        <f>C26*Parameters!$C$13</f>
        <v>19896.734400000001</v>
      </c>
      <c r="D48" s="182">
        <f>D26*Parameters!$C$13</f>
        <v>20387.056</v>
      </c>
      <c r="E48" s="182">
        <f>E26*Parameters!$C$13</f>
        <v>20999.957999999999</v>
      </c>
      <c r="F48" s="182">
        <f>F26*Parameters!$C$13</f>
        <v>20864.474399999999</v>
      </c>
      <c r="G48" s="182"/>
      <c r="H48" s="182">
        <f t="shared" si="0"/>
        <v>82148.222799999989</v>
      </c>
    </row>
    <row r="49" spans="2:8" ht="21" x14ac:dyDescent="0.35">
      <c r="B49" s="183">
        <v>2019</v>
      </c>
      <c r="C49" s="182">
        <f>C27*Parameters!$C$13</f>
        <v>19683.831600000001</v>
      </c>
      <c r="D49" s="182">
        <f>D27*Parameters!$C$13</f>
        <v>19245.122800000001</v>
      </c>
      <c r="E49" s="182">
        <f>E27*Parameters!$C$13</f>
        <v>18916.091199999999</v>
      </c>
      <c r="F49" s="182">
        <f>F27*Parameters!$C$13</f>
        <v>18348.350399999999</v>
      </c>
      <c r="G49" s="182"/>
      <c r="H49" s="182">
        <f t="shared" si="0"/>
        <v>76193.395999999993</v>
      </c>
    </row>
    <row r="50" spans="2:8" ht="21" x14ac:dyDescent="0.35">
      <c r="B50" s="183">
        <v>2020</v>
      </c>
      <c r="C50" s="182">
        <f>C28*Parameters!$C$13</f>
        <v>18838.671999999999</v>
      </c>
      <c r="D50" s="182">
        <f>D28*Parameters!$C$13</f>
        <v>20335.443200000002</v>
      </c>
      <c r="E50" s="182">
        <f>E28*Parameters!$C$13</f>
        <v>20225.766</v>
      </c>
      <c r="F50" s="182">
        <f>F28*Parameters!$C$13</f>
        <v>20645.12</v>
      </c>
      <c r="G50" s="182"/>
      <c r="H50" s="182">
        <f t="shared" si="0"/>
        <v>80045.001199999999</v>
      </c>
    </row>
  </sheetData>
  <mergeCells count="2">
    <mergeCell ref="B6:F6"/>
    <mergeCell ref="B29:F29"/>
  </mergeCells>
  <hyperlinks>
    <hyperlink ref="C2" r:id="rId1" location=":~:text=Intel%20(884K%20wafers%2Fmonth),of%20the%20world%27s%20total%20capacity" xr:uid="{37CDC205-109D-4A16-8954-DC0B311195DB}"/>
    <hyperlink ref="C3" r:id="rId2" xr:uid="{8ED845B2-6C2D-45CB-AFC0-917FB15BAB26}"/>
  </hyperlinks>
  <pageMargins left="0.7" right="0.7" top="0.75" bottom="0.75" header="0.3" footer="0.3"/>
  <pageSetup paperSize="9" orientation="portrait"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AF3050-0A18-4027-A1CD-FE8930910683}">
  <sheetPr>
    <tabColor rgb="FF44546A"/>
  </sheetPr>
  <dimension ref="B2:M26"/>
  <sheetViews>
    <sheetView workbookViewId="0">
      <selection activeCell="B5" sqref="B5"/>
    </sheetView>
  </sheetViews>
  <sheetFormatPr defaultRowHeight="15.75" x14ac:dyDescent="0.25"/>
  <cols>
    <col min="1" max="1" width="4.625" customWidth="1"/>
    <col min="2" max="7" width="15.125" customWidth="1"/>
    <col min="8" max="8" width="21.125" customWidth="1"/>
    <col min="9" max="9" width="14.5" customWidth="1"/>
    <col min="10" max="10" width="12.75" customWidth="1"/>
  </cols>
  <sheetData>
    <row r="2" spans="2:13" x14ac:dyDescent="0.25">
      <c r="B2" s="237" t="s">
        <v>507</v>
      </c>
      <c r="C2" s="167" t="s">
        <v>657</v>
      </c>
      <c r="M2" s="167" t="s">
        <v>658</v>
      </c>
    </row>
    <row r="4" spans="2:13" x14ac:dyDescent="0.25">
      <c r="B4" s="261" t="s">
        <v>659</v>
      </c>
      <c r="C4" s="262" t="s">
        <v>3</v>
      </c>
      <c r="D4" s="262" t="s">
        <v>660</v>
      </c>
      <c r="E4" s="262" t="s">
        <v>661</v>
      </c>
      <c r="F4" s="262" t="s">
        <v>662</v>
      </c>
      <c r="G4" s="262" t="s">
        <v>663</v>
      </c>
      <c r="H4" s="263" t="s">
        <v>664</v>
      </c>
      <c r="I4" s="264"/>
      <c r="J4" s="265" t="s">
        <v>665</v>
      </c>
    </row>
    <row r="5" spans="2:13" x14ac:dyDescent="0.25">
      <c r="B5" s="266" t="s">
        <v>666</v>
      </c>
      <c r="C5" s="179">
        <f>2010+3/12</f>
        <v>2010.25</v>
      </c>
      <c r="D5" s="129" t="s">
        <v>667</v>
      </c>
      <c r="E5" s="129">
        <v>45</v>
      </c>
      <c r="F5" s="129">
        <v>53.3</v>
      </c>
      <c r="G5" s="168">
        <v>0.14899999999999999</v>
      </c>
      <c r="H5" s="170">
        <f t="shared" ref="H5:H26" si="0">G5*1000/F5</f>
        <v>2.7954971857410884</v>
      </c>
      <c r="I5" s="130" t="s">
        <v>668</v>
      </c>
      <c r="J5" s="175" t="s">
        <v>669</v>
      </c>
    </row>
    <row r="6" spans="2:13" x14ac:dyDescent="0.25">
      <c r="B6" s="267" t="s">
        <v>670</v>
      </c>
      <c r="C6" s="180">
        <f>2011+3/12</f>
        <v>2011.25</v>
      </c>
      <c r="D6" s="128" t="s">
        <v>667</v>
      </c>
      <c r="E6" s="128">
        <v>45</v>
      </c>
      <c r="F6" s="128">
        <v>122.2</v>
      </c>
      <c r="G6" s="169">
        <v>0.2</v>
      </c>
      <c r="H6" s="171">
        <f t="shared" si="0"/>
        <v>1.6366612111292962</v>
      </c>
      <c r="I6" s="34" t="s">
        <v>668</v>
      </c>
      <c r="J6" s="176" t="s">
        <v>669</v>
      </c>
    </row>
    <row r="7" spans="2:13" x14ac:dyDescent="0.25">
      <c r="B7" s="267" t="s">
        <v>670</v>
      </c>
      <c r="C7" s="180">
        <f t="shared" ref="C7:C8" si="1">2011+3/12</f>
        <v>2011.25</v>
      </c>
      <c r="D7" s="128"/>
      <c r="E7" s="128">
        <v>32</v>
      </c>
      <c r="F7" s="128">
        <v>69.599999999999994</v>
      </c>
      <c r="G7" s="169"/>
      <c r="H7" s="171"/>
      <c r="I7" s="34" t="s">
        <v>668</v>
      </c>
      <c r="J7" s="176" t="s">
        <v>669</v>
      </c>
    </row>
    <row r="8" spans="2:13" x14ac:dyDescent="0.25">
      <c r="B8" s="267" t="s">
        <v>670</v>
      </c>
      <c r="C8" s="180">
        <f t="shared" si="1"/>
        <v>2011.25</v>
      </c>
      <c r="D8" s="128"/>
      <c r="E8" s="128">
        <v>32</v>
      </c>
      <c r="F8" s="128">
        <v>37.799999999999997</v>
      </c>
      <c r="G8" s="169"/>
      <c r="H8" s="171"/>
      <c r="I8" s="34" t="s">
        <v>668</v>
      </c>
      <c r="J8" s="176" t="s">
        <v>669</v>
      </c>
    </row>
    <row r="9" spans="2:13" x14ac:dyDescent="0.25">
      <c r="B9" s="267" t="s">
        <v>671</v>
      </c>
      <c r="C9" s="180">
        <f>2012+3/12</f>
        <v>2012.25</v>
      </c>
      <c r="D9" s="128">
        <v>1000</v>
      </c>
      <c r="E9" s="128">
        <v>45</v>
      </c>
      <c r="F9" s="128">
        <v>165</v>
      </c>
      <c r="G9" s="169"/>
      <c r="H9" s="171"/>
      <c r="I9" s="34" t="s">
        <v>668</v>
      </c>
      <c r="J9" s="176" t="s">
        <v>669</v>
      </c>
    </row>
    <row r="10" spans="2:13" x14ac:dyDescent="0.25">
      <c r="B10" s="267" t="s">
        <v>672</v>
      </c>
      <c r="C10" s="180">
        <f>2012+9/12</f>
        <v>2012.75</v>
      </c>
      <c r="D10" s="128">
        <v>1300</v>
      </c>
      <c r="E10" s="128">
        <v>32</v>
      </c>
      <c r="F10" s="128">
        <v>96.71</v>
      </c>
      <c r="G10" s="169">
        <v>0.74</v>
      </c>
      <c r="H10" s="171">
        <f t="shared" si="0"/>
        <v>7.6517423224071974</v>
      </c>
      <c r="I10" s="34" t="s">
        <v>668</v>
      </c>
      <c r="J10" s="176" t="s">
        <v>669</v>
      </c>
    </row>
    <row r="11" spans="2:13" x14ac:dyDescent="0.25">
      <c r="B11" s="267" t="s">
        <v>673</v>
      </c>
      <c r="C11" s="180">
        <f>2012+10/12</f>
        <v>2012.8333333333333</v>
      </c>
      <c r="D11" s="128">
        <v>1400</v>
      </c>
      <c r="E11" s="128">
        <v>32</v>
      </c>
      <c r="F11" s="128">
        <v>123</v>
      </c>
      <c r="G11" s="169"/>
      <c r="H11" s="171"/>
      <c r="I11" s="34" t="s">
        <v>668</v>
      </c>
      <c r="J11" s="176" t="s">
        <v>669</v>
      </c>
    </row>
    <row r="12" spans="2:13" x14ac:dyDescent="0.25">
      <c r="B12" s="267" t="s">
        <v>674</v>
      </c>
      <c r="C12" s="180">
        <f>2013+9/12</f>
        <v>2013.75</v>
      </c>
      <c r="D12" s="128">
        <v>1300</v>
      </c>
      <c r="E12" s="128">
        <v>28</v>
      </c>
      <c r="F12" s="128">
        <v>102</v>
      </c>
      <c r="G12" s="173">
        <v>1</v>
      </c>
      <c r="H12" s="171">
        <f t="shared" si="0"/>
        <v>9.8039215686274517</v>
      </c>
      <c r="I12" s="34" t="s">
        <v>668</v>
      </c>
      <c r="J12" s="176" t="s">
        <v>669</v>
      </c>
    </row>
    <row r="13" spans="2:13" x14ac:dyDescent="0.25">
      <c r="B13" s="267" t="s">
        <v>675</v>
      </c>
      <c r="C13" s="180">
        <f>2014+9/12</f>
        <v>2014.75</v>
      </c>
      <c r="D13" s="128">
        <v>1400</v>
      </c>
      <c r="E13" s="128">
        <v>20</v>
      </c>
      <c r="F13" s="128">
        <v>89</v>
      </c>
      <c r="G13" s="173">
        <v>2</v>
      </c>
      <c r="H13" s="171">
        <f t="shared" si="0"/>
        <v>22.471910112359552</v>
      </c>
      <c r="I13" s="34" t="s">
        <v>676</v>
      </c>
      <c r="J13" s="176" t="s">
        <v>271</v>
      </c>
    </row>
    <row r="14" spans="2:13" x14ac:dyDescent="0.25">
      <c r="B14" s="267" t="s">
        <v>677</v>
      </c>
      <c r="C14" s="180">
        <f>2014+10/12</f>
        <v>2014.8333333333333</v>
      </c>
      <c r="D14" s="128"/>
      <c r="E14" s="128">
        <v>20</v>
      </c>
      <c r="F14" s="128">
        <v>128</v>
      </c>
      <c r="G14" s="173">
        <v>3</v>
      </c>
      <c r="H14" s="171"/>
      <c r="I14" s="34" t="s">
        <v>676</v>
      </c>
      <c r="J14" s="176" t="s">
        <v>271</v>
      </c>
    </row>
    <row r="15" spans="2:13" x14ac:dyDescent="0.25">
      <c r="B15" s="267" t="s">
        <v>678</v>
      </c>
      <c r="C15" s="180">
        <f>2015+9/12</f>
        <v>2015.75</v>
      </c>
      <c r="D15" s="128"/>
      <c r="E15" s="128">
        <v>14</v>
      </c>
      <c r="F15" s="128">
        <v>96</v>
      </c>
      <c r="G15" s="169"/>
      <c r="H15" s="171"/>
      <c r="I15" s="34" t="s">
        <v>668</v>
      </c>
      <c r="J15" s="176" t="s">
        <v>669</v>
      </c>
    </row>
    <row r="16" spans="2:13" x14ac:dyDescent="0.25">
      <c r="B16" s="267" t="s">
        <v>678</v>
      </c>
      <c r="C16" s="180">
        <f>2015+9/12</f>
        <v>2015.75</v>
      </c>
      <c r="D16" s="128">
        <v>1850</v>
      </c>
      <c r="E16" s="128">
        <v>16</v>
      </c>
      <c r="F16" s="128">
        <v>104.5</v>
      </c>
      <c r="G16" s="169">
        <v>2</v>
      </c>
      <c r="H16" s="171">
        <f t="shared" si="0"/>
        <v>19.138755980861244</v>
      </c>
      <c r="I16" s="34" t="s">
        <v>679</v>
      </c>
      <c r="J16" s="176" t="s">
        <v>271</v>
      </c>
    </row>
    <row r="17" spans="2:12" x14ac:dyDescent="0.25">
      <c r="B17" s="267" t="s">
        <v>680</v>
      </c>
      <c r="C17" s="180">
        <f>2015+11/12</f>
        <v>2015.9166666666667</v>
      </c>
      <c r="D17" s="128">
        <v>2260</v>
      </c>
      <c r="E17" s="128">
        <v>16</v>
      </c>
      <c r="F17" s="128">
        <v>147</v>
      </c>
      <c r="G17" s="173">
        <v>3</v>
      </c>
      <c r="H17" s="171"/>
      <c r="I17" s="34" t="s">
        <v>679</v>
      </c>
      <c r="J17" s="176" t="s">
        <v>271</v>
      </c>
      <c r="L17" t="s">
        <v>681</v>
      </c>
    </row>
    <row r="18" spans="2:12" x14ac:dyDescent="0.25">
      <c r="B18" s="267" t="s">
        <v>682</v>
      </c>
      <c r="C18" s="180">
        <f>2016+9/12</f>
        <v>2016.75</v>
      </c>
      <c r="D18" s="128">
        <v>2340</v>
      </c>
      <c r="E18" s="128">
        <v>16</v>
      </c>
      <c r="F18" s="128">
        <v>125</v>
      </c>
      <c r="G18" s="173">
        <v>3.3</v>
      </c>
      <c r="H18" s="171">
        <f t="shared" si="0"/>
        <v>26.4</v>
      </c>
      <c r="I18" s="34" t="s">
        <v>679</v>
      </c>
      <c r="J18" s="176" t="s">
        <v>271</v>
      </c>
      <c r="L18">
        <f>11.6*10.8</f>
        <v>125.28</v>
      </c>
    </row>
    <row r="19" spans="2:12" x14ac:dyDescent="0.25">
      <c r="B19" s="267" t="s">
        <v>683</v>
      </c>
      <c r="C19" s="180">
        <f>2017+6/12</f>
        <v>2017.5</v>
      </c>
      <c r="D19" s="128">
        <v>2360</v>
      </c>
      <c r="E19" s="128">
        <v>10</v>
      </c>
      <c r="F19" s="128">
        <v>96.4</v>
      </c>
      <c r="G19" s="173"/>
      <c r="H19" s="171"/>
      <c r="I19" s="34" t="s">
        <v>679</v>
      </c>
      <c r="J19" s="176" t="s">
        <v>271</v>
      </c>
    </row>
    <row r="20" spans="2:12" x14ac:dyDescent="0.25">
      <c r="B20" s="267" t="s">
        <v>684</v>
      </c>
      <c r="C20" s="180">
        <f>2017+9/12</f>
        <v>2017.75</v>
      </c>
      <c r="D20" s="128">
        <v>2380</v>
      </c>
      <c r="E20" s="128">
        <v>10</v>
      </c>
      <c r="F20" s="128">
        <v>89.23</v>
      </c>
      <c r="G20" s="173">
        <v>4.3</v>
      </c>
      <c r="H20" s="171">
        <f t="shared" si="0"/>
        <v>48.190070604056928</v>
      </c>
      <c r="I20" s="34" t="s">
        <v>679</v>
      </c>
      <c r="J20" s="176" t="s">
        <v>271</v>
      </c>
      <c r="L20">
        <f>10*8.7</f>
        <v>87</v>
      </c>
    </row>
    <row r="21" spans="2:12" x14ac:dyDescent="0.25">
      <c r="B21" s="267" t="s">
        <v>685</v>
      </c>
      <c r="C21" s="180">
        <f>2018+9/12</f>
        <v>2018.75</v>
      </c>
      <c r="D21" s="128">
        <v>2490</v>
      </c>
      <c r="E21" s="128">
        <v>7</v>
      </c>
      <c r="F21" s="128">
        <v>83.27</v>
      </c>
      <c r="G21" s="173">
        <v>6.9</v>
      </c>
      <c r="H21" s="171">
        <f t="shared" si="0"/>
        <v>82.86297586165486</v>
      </c>
      <c r="I21" s="34" t="s">
        <v>686</v>
      </c>
      <c r="J21" s="176" t="s">
        <v>271</v>
      </c>
      <c r="L21">
        <f>9.9*8.4</f>
        <v>83.160000000000011</v>
      </c>
    </row>
    <row r="22" spans="2:12" x14ac:dyDescent="0.25">
      <c r="B22" s="267" t="s">
        <v>687</v>
      </c>
      <c r="C22" s="180">
        <f>2018+10/12</f>
        <v>2018.8333333333333</v>
      </c>
      <c r="D22" s="128">
        <v>2500</v>
      </c>
      <c r="E22" s="128">
        <v>7</v>
      </c>
      <c r="F22" s="128">
        <v>122</v>
      </c>
      <c r="G22" s="173">
        <v>10</v>
      </c>
      <c r="H22" s="171"/>
      <c r="I22" s="34" t="s">
        <v>686</v>
      </c>
      <c r="J22" s="176" t="s">
        <v>271</v>
      </c>
    </row>
    <row r="23" spans="2:12" x14ac:dyDescent="0.25">
      <c r="B23" s="267" t="s">
        <v>688</v>
      </c>
      <c r="C23" s="180">
        <f>2020+3/12</f>
        <v>2020.25</v>
      </c>
      <c r="D23" s="128">
        <v>2500</v>
      </c>
      <c r="E23" s="128">
        <v>7</v>
      </c>
      <c r="F23" s="128">
        <v>122</v>
      </c>
      <c r="G23" s="173">
        <v>10</v>
      </c>
      <c r="H23" s="171"/>
      <c r="I23" s="34" t="s">
        <v>686</v>
      </c>
      <c r="J23" s="176" t="s">
        <v>271</v>
      </c>
    </row>
    <row r="24" spans="2:12" x14ac:dyDescent="0.25">
      <c r="B24" s="267" t="s">
        <v>689</v>
      </c>
      <c r="C24" s="180">
        <f>2019+9/12</f>
        <v>2019.75</v>
      </c>
      <c r="D24" s="128">
        <v>2670</v>
      </c>
      <c r="E24" s="128">
        <v>7</v>
      </c>
      <c r="F24" s="128">
        <v>98</v>
      </c>
      <c r="G24" s="173">
        <v>8.5</v>
      </c>
      <c r="H24" s="171">
        <f t="shared" si="0"/>
        <v>86.734693877551024</v>
      </c>
      <c r="I24" s="34" t="s">
        <v>686</v>
      </c>
      <c r="J24" s="176" t="s">
        <v>271</v>
      </c>
    </row>
    <row r="25" spans="2:12" x14ac:dyDescent="0.25">
      <c r="B25" s="267" t="s">
        <v>690</v>
      </c>
      <c r="C25" s="180">
        <f>2020+9/12</f>
        <v>2020.75</v>
      </c>
      <c r="D25" s="128">
        <v>2990</v>
      </c>
      <c r="E25" s="128">
        <v>5</v>
      </c>
      <c r="F25" s="128">
        <v>88</v>
      </c>
      <c r="G25" s="173">
        <v>11.8</v>
      </c>
      <c r="H25" s="171">
        <f t="shared" si="0"/>
        <v>134.09090909090909</v>
      </c>
      <c r="I25" s="34" t="s">
        <v>691</v>
      </c>
      <c r="J25" s="176" t="s">
        <v>271</v>
      </c>
    </row>
    <row r="26" spans="2:12" x14ac:dyDescent="0.25">
      <c r="B26" s="268" t="s">
        <v>692</v>
      </c>
      <c r="C26" s="181">
        <f>2021+9/12</f>
        <v>2021.75</v>
      </c>
      <c r="D26" s="116">
        <v>3230</v>
      </c>
      <c r="E26" s="116">
        <v>5</v>
      </c>
      <c r="F26" s="116">
        <v>107.68</v>
      </c>
      <c r="G26" s="174">
        <v>15</v>
      </c>
      <c r="H26" s="172">
        <f t="shared" si="0"/>
        <v>139.30163447251113</v>
      </c>
      <c r="I26" s="177" t="s">
        <v>693</v>
      </c>
      <c r="J26" s="178" t="s">
        <v>271</v>
      </c>
    </row>
  </sheetData>
  <hyperlinks>
    <hyperlink ref="C2" r:id="rId1" location="Apple%20A6" xr:uid="{5CBF5C05-1F07-4042-A34A-ED11F216437D}"/>
    <hyperlink ref="M2" r:id="rId2" location="Apple_A4" xr:uid="{BF5B415D-A31B-4085-A7A6-B9AA49D259DF}"/>
  </hyperlinks>
  <pageMargins left="0.7" right="0.7" top="0.75" bottom="0.75" header="0.3" footer="0.3"/>
  <pageSetup paperSize="9" orientation="portrait" r:id="rId3"/>
  <drawing r:id="rId4"/>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7D9383-C3FB-4BCF-99A9-8BAFC2BCF771}">
  <sheetPr>
    <tabColor rgb="FFFF8C8C"/>
  </sheetPr>
  <dimension ref="A2:G120"/>
  <sheetViews>
    <sheetView zoomScale="60" zoomScaleNormal="60" workbookViewId="0">
      <pane ySplit="7" topLeftCell="A71" activePane="bottomLeft" state="frozen"/>
      <selection pane="bottomLeft" activeCell="F84" sqref="F84"/>
    </sheetView>
  </sheetViews>
  <sheetFormatPr defaultRowHeight="15.75" x14ac:dyDescent="0.25"/>
  <cols>
    <col min="1" max="1" width="4.125" customWidth="1"/>
    <col min="2" max="2" width="11.25" customWidth="1"/>
    <col min="3" max="3" width="125.625" customWidth="1"/>
    <col min="4" max="4" width="37.5" customWidth="1"/>
    <col min="5" max="5" width="11" customWidth="1"/>
    <col min="6" max="6" width="14" customWidth="1"/>
    <col min="7" max="7" width="119.75" style="11" customWidth="1"/>
  </cols>
  <sheetData>
    <row r="2" spans="1:7" x14ac:dyDescent="0.25">
      <c r="B2" s="14" t="s">
        <v>694</v>
      </c>
    </row>
    <row r="3" spans="1:7" x14ac:dyDescent="0.25">
      <c r="C3" s="15" t="s">
        <v>695</v>
      </c>
    </row>
    <row r="4" spans="1:7" x14ac:dyDescent="0.25">
      <c r="B4" s="15"/>
      <c r="C4" s="15" t="s">
        <v>696</v>
      </c>
    </row>
    <row r="5" spans="1:7" x14ac:dyDescent="0.25">
      <c r="B5" s="15"/>
      <c r="C5" s="15" t="s">
        <v>697</v>
      </c>
    </row>
    <row r="7" spans="1:7" s="248" customFormat="1" ht="31.5" x14ac:dyDescent="0.25">
      <c r="B7" s="249" t="s">
        <v>698</v>
      </c>
      <c r="C7" s="249" t="s">
        <v>699</v>
      </c>
      <c r="D7" s="260" t="s">
        <v>2</v>
      </c>
      <c r="E7" s="249" t="s">
        <v>700</v>
      </c>
      <c r="F7" s="260" t="s">
        <v>4</v>
      </c>
      <c r="G7" s="249" t="s">
        <v>7</v>
      </c>
    </row>
    <row r="8" spans="1:7" ht="30.75" customHeight="1" x14ac:dyDescent="0.25">
      <c r="B8" s="401"/>
      <c r="C8" s="401"/>
      <c r="D8" s="401"/>
      <c r="E8" s="401"/>
      <c r="F8" s="401"/>
      <c r="G8" s="401"/>
    </row>
    <row r="9" spans="1:7" x14ac:dyDescent="0.25">
      <c r="A9">
        <v>1</v>
      </c>
      <c r="B9" t="s">
        <v>701</v>
      </c>
      <c r="C9" t="s">
        <v>153</v>
      </c>
      <c r="D9" t="s">
        <v>702</v>
      </c>
      <c r="E9">
        <v>2017</v>
      </c>
      <c r="F9" s="243" t="s">
        <v>155</v>
      </c>
    </row>
    <row r="10" spans="1:7" x14ac:dyDescent="0.25">
      <c r="A10">
        <v>2</v>
      </c>
      <c r="B10" t="s">
        <v>701</v>
      </c>
      <c r="C10" t="s">
        <v>703</v>
      </c>
      <c r="D10" t="s">
        <v>704</v>
      </c>
      <c r="E10">
        <v>2014</v>
      </c>
      <c r="F10" s="243" t="s">
        <v>705</v>
      </c>
    </row>
    <row r="11" spans="1:7" x14ac:dyDescent="0.25">
      <c r="A11">
        <v>3</v>
      </c>
      <c r="B11" t="s">
        <v>701</v>
      </c>
      <c r="C11" t="s">
        <v>139</v>
      </c>
      <c r="D11" t="s">
        <v>706</v>
      </c>
      <c r="E11">
        <v>2020</v>
      </c>
      <c r="F11" s="243" t="s">
        <v>707</v>
      </c>
    </row>
    <row r="12" spans="1:7" x14ac:dyDescent="0.25">
      <c r="A12">
        <v>4</v>
      </c>
      <c r="B12" t="s">
        <v>701</v>
      </c>
      <c r="C12" t="s">
        <v>109</v>
      </c>
      <c r="D12" t="s">
        <v>708</v>
      </c>
      <c r="E12">
        <v>2017</v>
      </c>
      <c r="F12" s="243" t="s">
        <v>709</v>
      </c>
    </row>
    <row r="13" spans="1:7" x14ac:dyDescent="0.25">
      <c r="A13">
        <v>5</v>
      </c>
      <c r="B13" t="s">
        <v>701</v>
      </c>
      <c r="C13" t="s">
        <v>121</v>
      </c>
      <c r="D13" t="s">
        <v>710</v>
      </c>
      <c r="E13">
        <v>2012</v>
      </c>
      <c r="F13" s="243" t="s">
        <v>711</v>
      </c>
    </row>
    <row r="14" spans="1:7" x14ac:dyDescent="0.25">
      <c r="A14">
        <v>6</v>
      </c>
      <c r="B14" t="s">
        <v>701</v>
      </c>
      <c r="C14" t="s">
        <v>712</v>
      </c>
      <c r="D14" t="s">
        <v>713</v>
      </c>
      <c r="E14">
        <v>2011</v>
      </c>
      <c r="F14" s="243" t="s">
        <v>714</v>
      </c>
    </row>
    <row r="15" spans="1:7" x14ac:dyDescent="0.25">
      <c r="A15">
        <v>7</v>
      </c>
      <c r="B15" t="s">
        <v>701</v>
      </c>
      <c r="C15" s="11" t="s">
        <v>372</v>
      </c>
      <c r="D15" t="s">
        <v>715</v>
      </c>
      <c r="E15">
        <v>2014</v>
      </c>
      <c r="F15" s="243" t="s">
        <v>374</v>
      </c>
      <c r="G15" s="11" t="s">
        <v>716</v>
      </c>
    </row>
    <row r="16" spans="1:7" x14ac:dyDescent="0.25">
      <c r="A16">
        <v>8</v>
      </c>
      <c r="B16" t="s">
        <v>701</v>
      </c>
      <c r="C16" t="s">
        <v>361</v>
      </c>
      <c r="D16" t="s">
        <v>717</v>
      </c>
      <c r="E16">
        <v>2012</v>
      </c>
      <c r="F16" s="243" t="s">
        <v>718</v>
      </c>
      <c r="G16" s="11" t="s">
        <v>719</v>
      </c>
    </row>
    <row r="17" spans="1:7" x14ac:dyDescent="0.25">
      <c r="A17">
        <v>9</v>
      </c>
      <c r="B17" t="s">
        <v>701</v>
      </c>
      <c r="C17" t="s">
        <v>720</v>
      </c>
      <c r="D17" t="s">
        <v>721</v>
      </c>
      <c r="E17">
        <v>2020</v>
      </c>
      <c r="F17" s="243" t="s">
        <v>389</v>
      </c>
      <c r="G17" s="225" t="s">
        <v>722</v>
      </c>
    </row>
    <row r="18" spans="1:7" x14ac:dyDescent="0.25">
      <c r="A18">
        <v>10</v>
      </c>
      <c r="B18" t="s">
        <v>701</v>
      </c>
      <c r="C18" t="s">
        <v>98</v>
      </c>
      <c r="D18" t="s">
        <v>723</v>
      </c>
      <c r="E18">
        <v>2015</v>
      </c>
      <c r="F18" s="243" t="s">
        <v>100</v>
      </c>
      <c r="G18" s="11" t="s">
        <v>724</v>
      </c>
    </row>
    <row r="19" spans="1:7" x14ac:dyDescent="0.25">
      <c r="A19">
        <v>11</v>
      </c>
      <c r="B19" t="s">
        <v>701</v>
      </c>
      <c r="C19" s="11" t="s">
        <v>69</v>
      </c>
      <c r="D19" t="s">
        <v>725</v>
      </c>
      <c r="E19">
        <v>2016</v>
      </c>
      <c r="F19" s="243" t="s">
        <v>726</v>
      </c>
    </row>
    <row r="20" spans="1:7" x14ac:dyDescent="0.25">
      <c r="A20">
        <v>12</v>
      </c>
      <c r="B20" t="s">
        <v>701</v>
      </c>
      <c r="C20" s="11" t="s">
        <v>79</v>
      </c>
      <c r="D20" t="s">
        <v>727</v>
      </c>
      <c r="E20">
        <v>2020</v>
      </c>
      <c r="F20" s="84" t="s">
        <v>80</v>
      </c>
    </row>
    <row r="21" spans="1:7" ht="31.5" x14ac:dyDescent="0.25">
      <c r="A21">
        <v>13</v>
      </c>
      <c r="B21" t="s">
        <v>701</v>
      </c>
      <c r="C21" s="11" t="s">
        <v>105</v>
      </c>
      <c r="D21" t="s">
        <v>708</v>
      </c>
      <c r="E21">
        <v>2014</v>
      </c>
      <c r="F21" s="85" t="s">
        <v>106</v>
      </c>
    </row>
    <row r="22" spans="1:7" x14ac:dyDescent="0.25">
      <c r="A22">
        <v>14</v>
      </c>
      <c r="B22" t="s">
        <v>701</v>
      </c>
      <c r="C22" s="11" t="s">
        <v>115</v>
      </c>
      <c r="D22" t="s">
        <v>728</v>
      </c>
      <c r="E22">
        <v>2016</v>
      </c>
      <c r="F22" s="243" t="s">
        <v>729</v>
      </c>
    </row>
    <row r="23" spans="1:7" x14ac:dyDescent="0.25">
      <c r="A23">
        <v>15</v>
      </c>
      <c r="B23" t="s">
        <v>701</v>
      </c>
      <c r="C23" s="11" t="s">
        <v>730</v>
      </c>
      <c r="D23" t="s">
        <v>731</v>
      </c>
      <c r="E23">
        <v>2013</v>
      </c>
      <c r="F23" s="243" t="s">
        <v>129</v>
      </c>
    </row>
    <row r="24" spans="1:7" x14ac:dyDescent="0.25">
      <c r="A24">
        <v>16</v>
      </c>
      <c r="B24" t="s">
        <v>701</v>
      </c>
      <c r="C24" s="11" t="s">
        <v>135</v>
      </c>
      <c r="D24" t="s">
        <v>732</v>
      </c>
      <c r="E24">
        <v>2013</v>
      </c>
      <c r="F24" s="243" t="s">
        <v>733</v>
      </c>
    </row>
    <row r="25" spans="1:7" x14ac:dyDescent="0.25">
      <c r="A25">
        <v>17</v>
      </c>
      <c r="B25" t="s">
        <v>701</v>
      </c>
      <c r="C25" s="11" t="s">
        <v>734</v>
      </c>
      <c r="D25" t="s">
        <v>735</v>
      </c>
      <c r="E25">
        <v>2011</v>
      </c>
      <c r="F25" s="243" t="s">
        <v>384</v>
      </c>
    </row>
    <row r="26" spans="1:7" x14ac:dyDescent="0.25">
      <c r="A26">
        <v>18</v>
      </c>
      <c r="B26" t="s">
        <v>701</v>
      </c>
      <c r="C26" s="51" t="s">
        <v>736</v>
      </c>
      <c r="D26" t="s">
        <v>737</v>
      </c>
      <c r="E26">
        <v>2011</v>
      </c>
      <c r="F26" s="243" t="s">
        <v>365</v>
      </c>
    </row>
    <row r="27" spans="1:7" x14ac:dyDescent="0.25">
      <c r="A27">
        <v>19</v>
      </c>
      <c r="B27" t="s">
        <v>738</v>
      </c>
      <c r="C27" s="51" t="s">
        <v>739</v>
      </c>
      <c r="D27" t="s">
        <v>740</v>
      </c>
      <c r="E27">
        <v>2011</v>
      </c>
      <c r="F27" s="243" t="s">
        <v>741</v>
      </c>
      <c r="G27" s="11" t="s">
        <v>742</v>
      </c>
    </row>
    <row r="28" spans="1:7" x14ac:dyDescent="0.25">
      <c r="A28">
        <v>20</v>
      </c>
      <c r="B28" t="s">
        <v>738</v>
      </c>
      <c r="C28" t="s">
        <v>743</v>
      </c>
      <c r="D28" t="s">
        <v>744</v>
      </c>
      <c r="E28">
        <v>2011</v>
      </c>
      <c r="F28" s="243" t="s">
        <v>745</v>
      </c>
      <c r="G28" s="11" t="s">
        <v>746</v>
      </c>
    </row>
    <row r="29" spans="1:7" x14ac:dyDescent="0.25">
      <c r="A29">
        <v>21</v>
      </c>
      <c r="B29" t="s">
        <v>738</v>
      </c>
      <c r="C29" t="s">
        <v>747</v>
      </c>
      <c r="D29" t="s">
        <v>748</v>
      </c>
      <c r="E29">
        <v>2016</v>
      </c>
      <c r="F29" s="243" t="s">
        <v>749</v>
      </c>
      <c r="G29" s="11" t="s">
        <v>750</v>
      </c>
    </row>
    <row r="30" spans="1:7" x14ac:dyDescent="0.25">
      <c r="A30">
        <v>22</v>
      </c>
      <c r="B30" t="s">
        <v>738</v>
      </c>
      <c r="C30" t="s">
        <v>751</v>
      </c>
      <c r="D30" t="s">
        <v>752</v>
      </c>
      <c r="E30">
        <v>2015</v>
      </c>
      <c r="F30" s="243" t="s">
        <v>753</v>
      </c>
      <c r="G30" s="11" t="s">
        <v>754</v>
      </c>
    </row>
    <row r="31" spans="1:7" x14ac:dyDescent="0.25">
      <c r="A31">
        <v>23</v>
      </c>
      <c r="B31" t="s">
        <v>738</v>
      </c>
      <c r="C31" t="s">
        <v>755</v>
      </c>
      <c r="D31" t="s">
        <v>756</v>
      </c>
      <c r="E31">
        <v>2011</v>
      </c>
      <c r="F31" s="243" t="s">
        <v>757</v>
      </c>
      <c r="G31" s="11" t="s">
        <v>754</v>
      </c>
    </row>
    <row r="32" spans="1:7" x14ac:dyDescent="0.25">
      <c r="A32">
        <v>24</v>
      </c>
      <c r="B32" t="s">
        <v>738</v>
      </c>
      <c r="C32" t="s">
        <v>758</v>
      </c>
      <c r="D32" t="s">
        <v>759</v>
      </c>
      <c r="E32">
        <v>2021</v>
      </c>
      <c r="F32" s="243" t="s">
        <v>760</v>
      </c>
      <c r="G32" s="11" t="s">
        <v>754</v>
      </c>
    </row>
    <row r="33" spans="1:7" x14ac:dyDescent="0.25">
      <c r="A33">
        <v>25</v>
      </c>
      <c r="B33" t="s">
        <v>738</v>
      </c>
      <c r="C33" t="s">
        <v>761</v>
      </c>
      <c r="D33" t="s">
        <v>762</v>
      </c>
      <c r="E33">
        <v>2020</v>
      </c>
      <c r="F33" s="243" t="s">
        <v>763</v>
      </c>
      <c r="G33" s="11" t="s">
        <v>754</v>
      </c>
    </row>
    <row r="34" spans="1:7" x14ac:dyDescent="0.25">
      <c r="A34">
        <v>26</v>
      </c>
      <c r="B34" t="s">
        <v>738</v>
      </c>
      <c r="C34" t="s">
        <v>764</v>
      </c>
      <c r="D34" t="s">
        <v>765</v>
      </c>
      <c r="E34">
        <v>2016</v>
      </c>
      <c r="F34" s="243" t="s">
        <v>766</v>
      </c>
      <c r="G34" s="11" t="s">
        <v>767</v>
      </c>
    </row>
    <row r="35" spans="1:7" x14ac:dyDescent="0.25">
      <c r="A35">
        <v>27</v>
      </c>
      <c r="B35" t="s">
        <v>738</v>
      </c>
      <c r="C35" t="s">
        <v>768</v>
      </c>
      <c r="D35" t="s">
        <v>769</v>
      </c>
      <c r="E35">
        <v>2020</v>
      </c>
      <c r="F35" s="243" t="s">
        <v>524</v>
      </c>
      <c r="G35" s="11" t="s">
        <v>770</v>
      </c>
    </row>
    <row r="36" spans="1:7" x14ac:dyDescent="0.25">
      <c r="A36">
        <v>28</v>
      </c>
      <c r="B36" t="s">
        <v>738</v>
      </c>
      <c r="C36" t="s">
        <v>771</v>
      </c>
      <c r="D36" t="s">
        <v>772</v>
      </c>
      <c r="E36">
        <v>2010</v>
      </c>
      <c r="F36" s="243" t="s">
        <v>773</v>
      </c>
      <c r="G36" s="11" t="s">
        <v>754</v>
      </c>
    </row>
    <row r="37" spans="1:7" x14ac:dyDescent="0.25">
      <c r="A37">
        <v>29</v>
      </c>
      <c r="B37" t="s">
        <v>738</v>
      </c>
      <c r="C37" t="s">
        <v>774</v>
      </c>
      <c r="D37" t="s">
        <v>775</v>
      </c>
      <c r="E37">
        <v>2013</v>
      </c>
      <c r="F37" s="243" t="s">
        <v>776</v>
      </c>
      <c r="G37" s="11" t="s">
        <v>754</v>
      </c>
    </row>
    <row r="38" spans="1:7" x14ac:dyDescent="0.25">
      <c r="A38">
        <v>30</v>
      </c>
      <c r="B38" t="s">
        <v>738</v>
      </c>
      <c r="C38" t="s">
        <v>777</v>
      </c>
      <c r="D38" t="s">
        <v>778</v>
      </c>
      <c r="E38">
        <v>2020</v>
      </c>
      <c r="F38" s="243" t="s">
        <v>779</v>
      </c>
      <c r="G38" s="11" t="s">
        <v>754</v>
      </c>
    </row>
    <row r="39" spans="1:7" x14ac:dyDescent="0.25">
      <c r="A39">
        <v>31</v>
      </c>
      <c r="B39" t="s">
        <v>738</v>
      </c>
      <c r="C39" t="s">
        <v>780</v>
      </c>
      <c r="D39" t="s">
        <v>781</v>
      </c>
      <c r="E39">
        <v>2010</v>
      </c>
      <c r="F39" s="243" t="s">
        <v>782</v>
      </c>
      <c r="G39" s="11" t="s">
        <v>754</v>
      </c>
    </row>
    <row r="40" spans="1:7" x14ac:dyDescent="0.25">
      <c r="A40">
        <v>32</v>
      </c>
      <c r="B40" t="s">
        <v>738</v>
      </c>
      <c r="C40" t="s">
        <v>783</v>
      </c>
      <c r="D40" t="s">
        <v>784</v>
      </c>
      <c r="E40">
        <v>2010</v>
      </c>
      <c r="F40" s="243" t="s">
        <v>785</v>
      </c>
      <c r="G40" s="11" t="s">
        <v>742</v>
      </c>
    </row>
    <row r="41" spans="1:7" x14ac:dyDescent="0.25">
      <c r="A41">
        <v>33</v>
      </c>
      <c r="B41" t="s">
        <v>738</v>
      </c>
      <c r="C41" t="s">
        <v>786</v>
      </c>
      <c r="D41" t="s">
        <v>787</v>
      </c>
      <c r="E41">
        <v>2013</v>
      </c>
      <c r="F41" s="243" t="s">
        <v>788</v>
      </c>
      <c r="G41" s="11" t="s">
        <v>754</v>
      </c>
    </row>
    <row r="42" spans="1:7" x14ac:dyDescent="0.25">
      <c r="A42">
        <v>34</v>
      </c>
      <c r="B42" t="s">
        <v>738</v>
      </c>
      <c r="C42" t="s">
        <v>789</v>
      </c>
      <c r="D42" t="s">
        <v>790</v>
      </c>
      <c r="E42">
        <v>2021</v>
      </c>
      <c r="F42" s="243" t="s">
        <v>791</v>
      </c>
      <c r="G42" s="11" t="s">
        <v>754</v>
      </c>
    </row>
    <row r="43" spans="1:7" x14ac:dyDescent="0.25">
      <c r="A43">
        <v>35</v>
      </c>
      <c r="B43" t="s">
        <v>738</v>
      </c>
      <c r="C43" t="s">
        <v>792</v>
      </c>
      <c r="D43" t="s">
        <v>793</v>
      </c>
      <c r="E43">
        <v>2014</v>
      </c>
      <c r="F43" s="243" t="s">
        <v>794</v>
      </c>
      <c r="G43" s="11" t="s">
        <v>795</v>
      </c>
    </row>
    <row r="44" spans="1:7" x14ac:dyDescent="0.25">
      <c r="A44">
        <v>36</v>
      </c>
      <c r="B44" t="s">
        <v>738</v>
      </c>
      <c r="C44" t="s">
        <v>796</v>
      </c>
      <c r="D44" t="s">
        <v>797</v>
      </c>
      <c r="E44">
        <v>2018</v>
      </c>
      <c r="F44" s="243" t="s">
        <v>798</v>
      </c>
      <c r="G44" s="11" t="s">
        <v>754</v>
      </c>
    </row>
    <row r="45" spans="1:7" x14ac:dyDescent="0.25">
      <c r="A45">
        <v>37</v>
      </c>
      <c r="B45" t="s">
        <v>738</v>
      </c>
      <c r="C45" t="s">
        <v>799</v>
      </c>
      <c r="D45" t="s">
        <v>800</v>
      </c>
      <c r="E45">
        <v>2021</v>
      </c>
      <c r="F45" s="243" t="s">
        <v>801</v>
      </c>
      <c r="G45" s="225" t="s">
        <v>802</v>
      </c>
    </row>
    <row r="46" spans="1:7" x14ac:dyDescent="0.25">
      <c r="A46">
        <v>38</v>
      </c>
      <c r="B46" t="s">
        <v>738</v>
      </c>
      <c r="C46" s="11" t="s">
        <v>803</v>
      </c>
      <c r="D46" t="s">
        <v>804</v>
      </c>
      <c r="E46">
        <v>2019</v>
      </c>
      <c r="F46" s="243" t="s">
        <v>805</v>
      </c>
    </row>
    <row r="47" spans="1:7" x14ac:dyDescent="0.25">
      <c r="A47">
        <v>39</v>
      </c>
      <c r="B47" t="s">
        <v>738</v>
      </c>
      <c r="C47" s="11" t="s">
        <v>806</v>
      </c>
      <c r="D47" t="s">
        <v>807</v>
      </c>
      <c r="E47">
        <v>2010</v>
      </c>
      <c r="F47" s="243" t="s">
        <v>808</v>
      </c>
      <c r="G47" s="225" t="s">
        <v>809</v>
      </c>
    </row>
    <row r="48" spans="1:7" x14ac:dyDescent="0.25">
      <c r="A48">
        <v>40</v>
      </c>
      <c r="B48" t="s">
        <v>738</v>
      </c>
      <c r="C48" t="s">
        <v>810</v>
      </c>
      <c r="D48" t="s">
        <v>811</v>
      </c>
      <c r="E48">
        <v>2020</v>
      </c>
      <c r="F48" s="243" t="s">
        <v>812</v>
      </c>
      <c r="G48" s="11" t="s">
        <v>754</v>
      </c>
    </row>
    <row r="49" spans="1:7" x14ac:dyDescent="0.25">
      <c r="A49">
        <v>41</v>
      </c>
      <c r="B49" t="s">
        <v>738</v>
      </c>
      <c r="C49" s="11" t="s">
        <v>813</v>
      </c>
      <c r="D49" t="s">
        <v>814</v>
      </c>
      <c r="E49">
        <v>2014</v>
      </c>
      <c r="F49" s="243" t="s">
        <v>815</v>
      </c>
      <c r="G49" s="11" t="s">
        <v>754</v>
      </c>
    </row>
    <row r="50" spans="1:7" x14ac:dyDescent="0.25">
      <c r="A50">
        <v>42</v>
      </c>
      <c r="B50" t="s">
        <v>738</v>
      </c>
      <c r="C50" t="s">
        <v>816</v>
      </c>
      <c r="D50" t="s">
        <v>817</v>
      </c>
      <c r="E50">
        <v>2014</v>
      </c>
      <c r="F50" s="243" t="s">
        <v>818</v>
      </c>
      <c r="G50" s="11" t="s">
        <v>819</v>
      </c>
    </row>
    <row r="51" spans="1:7" x14ac:dyDescent="0.25">
      <c r="A51">
        <v>43</v>
      </c>
      <c r="B51" t="s">
        <v>738</v>
      </c>
      <c r="C51" s="11" t="s">
        <v>820</v>
      </c>
      <c r="D51" t="s">
        <v>821</v>
      </c>
      <c r="E51">
        <v>2014</v>
      </c>
      <c r="F51" s="243" t="s">
        <v>822</v>
      </c>
      <c r="G51" s="11" t="s">
        <v>754</v>
      </c>
    </row>
    <row r="52" spans="1:7" x14ac:dyDescent="0.25">
      <c r="A52">
        <v>44</v>
      </c>
      <c r="B52" t="s">
        <v>738</v>
      </c>
      <c r="C52" t="s">
        <v>823</v>
      </c>
      <c r="D52" t="s">
        <v>824</v>
      </c>
      <c r="E52">
        <v>2013</v>
      </c>
      <c r="F52" s="243" t="s">
        <v>825</v>
      </c>
      <c r="G52" s="11" t="s">
        <v>754</v>
      </c>
    </row>
    <row r="53" spans="1:7" x14ac:dyDescent="0.25">
      <c r="A53">
        <v>45</v>
      </c>
      <c r="B53" t="s">
        <v>738</v>
      </c>
      <c r="C53" t="s">
        <v>826</v>
      </c>
      <c r="D53" t="s">
        <v>827</v>
      </c>
      <c r="E53">
        <v>2016</v>
      </c>
      <c r="F53" s="243" t="s">
        <v>828</v>
      </c>
      <c r="G53" s="11" t="s">
        <v>750</v>
      </c>
    </row>
    <row r="54" spans="1:7" x14ac:dyDescent="0.25">
      <c r="A54">
        <v>46</v>
      </c>
      <c r="B54" t="s">
        <v>738</v>
      </c>
      <c r="C54" t="s">
        <v>829</v>
      </c>
      <c r="D54" t="s">
        <v>830</v>
      </c>
      <c r="E54">
        <v>2014</v>
      </c>
      <c r="F54" s="243" t="s">
        <v>831</v>
      </c>
      <c r="G54" s="11" t="s">
        <v>754</v>
      </c>
    </row>
    <row r="55" spans="1:7" x14ac:dyDescent="0.25">
      <c r="A55">
        <v>47</v>
      </c>
      <c r="B55" t="s">
        <v>738</v>
      </c>
      <c r="C55" t="s">
        <v>832</v>
      </c>
      <c r="D55" t="s">
        <v>833</v>
      </c>
      <c r="E55">
        <v>2015</v>
      </c>
      <c r="F55" s="243" t="s">
        <v>834</v>
      </c>
      <c r="G55" s="11" t="s">
        <v>750</v>
      </c>
    </row>
    <row r="56" spans="1:7" x14ac:dyDescent="0.25">
      <c r="A56">
        <v>48</v>
      </c>
      <c r="B56" t="s">
        <v>738</v>
      </c>
      <c r="C56" t="s">
        <v>835</v>
      </c>
      <c r="D56" t="s">
        <v>836</v>
      </c>
      <c r="E56">
        <v>2015</v>
      </c>
      <c r="F56" s="243" t="s">
        <v>837</v>
      </c>
      <c r="G56" s="11" t="s">
        <v>754</v>
      </c>
    </row>
    <row r="57" spans="1:7" x14ac:dyDescent="0.25">
      <c r="A57">
        <v>49</v>
      </c>
      <c r="B57" t="s">
        <v>738</v>
      </c>
      <c r="C57" t="s">
        <v>838</v>
      </c>
      <c r="D57" t="s">
        <v>839</v>
      </c>
      <c r="E57">
        <v>2021</v>
      </c>
      <c r="F57" s="243" t="s">
        <v>840</v>
      </c>
      <c r="G57" s="11" t="s">
        <v>750</v>
      </c>
    </row>
    <row r="58" spans="1:7" x14ac:dyDescent="0.25">
      <c r="A58">
        <v>50</v>
      </c>
      <c r="B58" t="s">
        <v>738</v>
      </c>
      <c r="C58" t="s">
        <v>841</v>
      </c>
      <c r="D58" t="s">
        <v>842</v>
      </c>
      <c r="E58">
        <v>2013</v>
      </c>
      <c r="F58" s="243" t="s">
        <v>843</v>
      </c>
      <c r="G58" s="11" t="s">
        <v>750</v>
      </c>
    </row>
    <row r="59" spans="1:7" x14ac:dyDescent="0.25">
      <c r="A59">
        <v>51</v>
      </c>
      <c r="B59" t="s">
        <v>738</v>
      </c>
      <c r="C59" s="11" t="s">
        <v>844</v>
      </c>
      <c r="D59" t="s">
        <v>845</v>
      </c>
      <c r="E59">
        <v>2014</v>
      </c>
      <c r="F59" s="243" t="s">
        <v>846</v>
      </c>
      <c r="G59" s="11" t="s">
        <v>750</v>
      </c>
    </row>
    <row r="60" spans="1:7" x14ac:dyDescent="0.25">
      <c r="A60">
        <v>52</v>
      </c>
      <c r="B60" t="s">
        <v>738</v>
      </c>
      <c r="C60" t="s">
        <v>847</v>
      </c>
      <c r="D60" t="s">
        <v>848</v>
      </c>
      <c r="E60">
        <v>2011</v>
      </c>
      <c r="F60" s="243" t="s">
        <v>849</v>
      </c>
      <c r="G60" s="11" t="s">
        <v>754</v>
      </c>
    </row>
    <row r="61" spans="1:7" x14ac:dyDescent="0.25">
      <c r="A61">
        <v>53</v>
      </c>
      <c r="B61" t="s">
        <v>738</v>
      </c>
      <c r="C61" t="s">
        <v>850</v>
      </c>
      <c r="D61" t="s">
        <v>713</v>
      </c>
      <c r="E61">
        <v>2011</v>
      </c>
      <c r="F61" s="243" t="s">
        <v>851</v>
      </c>
      <c r="G61" s="11" t="s">
        <v>742</v>
      </c>
    </row>
    <row r="62" spans="1:7" x14ac:dyDescent="0.25">
      <c r="A62">
        <v>54</v>
      </c>
      <c r="B62" t="s">
        <v>738</v>
      </c>
      <c r="C62" t="s">
        <v>852</v>
      </c>
      <c r="D62" t="s">
        <v>853</v>
      </c>
      <c r="E62">
        <v>2013</v>
      </c>
      <c r="F62" s="243" t="s">
        <v>854</v>
      </c>
      <c r="G62" s="11" t="s">
        <v>750</v>
      </c>
    </row>
    <row r="63" spans="1:7" x14ac:dyDescent="0.25">
      <c r="A63">
        <v>55</v>
      </c>
      <c r="B63" t="s">
        <v>738</v>
      </c>
      <c r="C63" s="11" t="s">
        <v>855</v>
      </c>
      <c r="D63" t="s">
        <v>856</v>
      </c>
      <c r="E63">
        <v>2014</v>
      </c>
      <c r="F63" s="243" t="s">
        <v>857</v>
      </c>
      <c r="G63" s="11" t="s">
        <v>750</v>
      </c>
    </row>
    <row r="64" spans="1:7" x14ac:dyDescent="0.25">
      <c r="A64">
        <v>56</v>
      </c>
      <c r="B64" t="s">
        <v>738</v>
      </c>
      <c r="C64" t="s">
        <v>858</v>
      </c>
      <c r="D64" t="s">
        <v>859</v>
      </c>
      <c r="E64">
        <v>2012</v>
      </c>
      <c r="F64" s="243" t="s">
        <v>860</v>
      </c>
      <c r="G64" s="11" t="s">
        <v>861</v>
      </c>
    </row>
    <row r="65" spans="1:7" x14ac:dyDescent="0.25">
      <c r="A65">
        <v>57</v>
      </c>
      <c r="B65" t="s">
        <v>738</v>
      </c>
      <c r="C65" t="s">
        <v>862</v>
      </c>
      <c r="D65" t="s">
        <v>863</v>
      </c>
      <c r="E65">
        <v>2016</v>
      </c>
      <c r="F65" s="243" t="s">
        <v>864</v>
      </c>
      <c r="G65" s="11" t="s">
        <v>865</v>
      </c>
    </row>
    <row r="66" spans="1:7" x14ac:dyDescent="0.25">
      <c r="A66">
        <v>58</v>
      </c>
      <c r="B66" t="s">
        <v>738</v>
      </c>
      <c r="C66" s="11" t="s">
        <v>866</v>
      </c>
      <c r="D66" t="s">
        <v>867</v>
      </c>
      <c r="E66">
        <v>2011</v>
      </c>
      <c r="F66" s="243" t="s">
        <v>868</v>
      </c>
      <c r="G66" s="11" t="s">
        <v>869</v>
      </c>
    </row>
    <row r="67" spans="1:7" x14ac:dyDescent="0.25">
      <c r="A67">
        <v>59</v>
      </c>
      <c r="B67" t="s">
        <v>738</v>
      </c>
      <c r="C67" s="11" t="s">
        <v>870</v>
      </c>
      <c r="D67" t="s">
        <v>871</v>
      </c>
      <c r="E67">
        <v>2021</v>
      </c>
      <c r="F67" s="243" t="s">
        <v>872</v>
      </c>
      <c r="G67" s="11" t="s">
        <v>873</v>
      </c>
    </row>
    <row r="68" spans="1:7" x14ac:dyDescent="0.25">
      <c r="A68">
        <v>60</v>
      </c>
      <c r="B68" t="s">
        <v>738</v>
      </c>
      <c r="C68" s="11" t="s">
        <v>874</v>
      </c>
      <c r="D68" t="s">
        <v>875</v>
      </c>
      <c r="E68">
        <v>2010</v>
      </c>
      <c r="F68" s="243" t="s">
        <v>876</v>
      </c>
      <c r="G68" s="11" t="s">
        <v>754</v>
      </c>
    </row>
    <row r="69" spans="1:7" x14ac:dyDescent="0.25">
      <c r="B69" s="14">
        <f>COUNTIF(B9:B68,"Yes")</f>
        <v>18</v>
      </c>
      <c r="C69" s="19" t="s">
        <v>877</v>
      </c>
      <c r="F69" s="243"/>
    </row>
    <row r="70" spans="1:7" x14ac:dyDescent="0.25">
      <c r="F70" s="243"/>
    </row>
    <row r="71" spans="1:7" ht="29.25" customHeight="1" x14ac:dyDescent="0.25">
      <c r="B71" s="401"/>
      <c r="C71" s="401"/>
      <c r="D71" s="401"/>
      <c r="E71" s="401"/>
      <c r="F71" s="401"/>
      <c r="G71" s="401"/>
    </row>
    <row r="72" spans="1:7" x14ac:dyDescent="0.25">
      <c r="A72">
        <v>1</v>
      </c>
      <c r="B72" t="s">
        <v>701</v>
      </c>
      <c r="C72" s="11" t="s">
        <v>245</v>
      </c>
      <c r="D72" t="s">
        <v>878</v>
      </c>
      <c r="E72">
        <v>2003</v>
      </c>
      <c r="F72" s="243" t="s">
        <v>247</v>
      </c>
      <c r="G72" s="11" t="s">
        <v>879</v>
      </c>
    </row>
    <row r="73" spans="1:7" x14ac:dyDescent="0.25">
      <c r="A73">
        <v>2</v>
      </c>
      <c r="B73" t="s">
        <v>701</v>
      </c>
      <c r="C73" s="11" t="s">
        <v>414</v>
      </c>
      <c r="D73" t="s">
        <v>880</v>
      </c>
      <c r="E73">
        <v>2008</v>
      </c>
      <c r="F73" s="243" t="s">
        <v>881</v>
      </c>
      <c r="G73" s="11" t="s">
        <v>882</v>
      </c>
    </row>
    <row r="74" spans="1:7" x14ac:dyDescent="0.25">
      <c r="A74">
        <v>3</v>
      </c>
      <c r="B74" t="s">
        <v>701</v>
      </c>
      <c r="C74" t="s">
        <v>883</v>
      </c>
      <c r="D74" t="s">
        <v>884</v>
      </c>
      <c r="E74">
        <v>2008</v>
      </c>
      <c r="F74" s="243" t="s">
        <v>236</v>
      </c>
      <c r="G74" s="11" t="s">
        <v>885</v>
      </c>
    </row>
    <row r="75" spans="1:7" x14ac:dyDescent="0.25">
      <c r="A75">
        <v>4</v>
      </c>
      <c r="B75" t="s">
        <v>701</v>
      </c>
      <c r="C75" s="11" t="s">
        <v>886</v>
      </c>
      <c r="D75" t="s">
        <v>887</v>
      </c>
      <c r="E75">
        <v>2008</v>
      </c>
      <c r="F75" s="243" t="s">
        <v>417</v>
      </c>
      <c r="G75" s="11" t="s">
        <v>888</v>
      </c>
    </row>
    <row r="76" spans="1:7" x14ac:dyDescent="0.25">
      <c r="A76">
        <v>5</v>
      </c>
      <c r="B76" t="s">
        <v>701</v>
      </c>
      <c r="C76" t="s">
        <v>889</v>
      </c>
      <c r="D76" t="s">
        <v>890</v>
      </c>
      <c r="E76">
        <v>2004</v>
      </c>
      <c r="F76" s="243" t="s">
        <v>171</v>
      </c>
    </row>
    <row r="77" spans="1:7" x14ac:dyDescent="0.25">
      <c r="A77">
        <v>6</v>
      </c>
      <c r="B77" t="s">
        <v>701</v>
      </c>
      <c r="C77" t="s">
        <v>407</v>
      </c>
      <c r="D77" t="s">
        <v>891</v>
      </c>
      <c r="E77">
        <v>2011</v>
      </c>
      <c r="F77" s="243" t="s">
        <v>408</v>
      </c>
    </row>
    <row r="78" spans="1:7" x14ac:dyDescent="0.25">
      <c r="A78">
        <v>7</v>
      </c>
      <c r="B78" t="s">
        <v>701</v>
      </c>
      <c r="C78" t="s">
        <v>892</v>
      </c>
      <c r="D78" t="s">
        <v>893</v>
      </c>
      <c r="E78">
        <v>2002</v>
      </c>
      <c r="F78" s="243" t="s">
        <v>220</v>
      </c>
    </row>
    <row r="79" spans="1:7" x14ac:dyDescent="0.25">
      <c r="A79">
        <v>8</v>
      </c>
      <c r="B79" t="s">
        <v>701</v>
      </c>
      <c r="C79" t="s">
        <v>222</v>
      </c>
      <c r="D79" t="s">
        <v>894</v>
      </c>
      <c r="E79">
        <v>2003</v>
      </c>
      <c r="F79" s="243" t="s">
        <v>224</v>
      </c>
    </row>
    <row r="80" spans="1:7" x14ac:dyDescent="0.25">
      <c r="A80">
        <v>9</v>
      </c>
      <c r="B80" t="s">
        <v>701</v>
      </c>
      <c r="C80" t="s">
        <v>895</v>
      </c>
      <c r="D80" t="s">
        <v>896</v>
      </c>
      <c r="E80">
        <v>2010</v>
      </c>
      <c r="F80" s="243" t="s">
        <v>252</v>
      </c>
      <c r="G80" s="11" t="s">
        <v>897</v>
      </c>
    </row>
    <row r="81" spans="1:7" ht="18.75" customHeight="1" x14ac:dyDescent="0.25">
      <c r="A81">
        <v>10</v>
      </c>
      <c r="B81" t="s">
        <v>738</v>
      </c>
      <c r="C81" s="11" t="s">
        <v>898</v>
      </c>
      <c r="D81" t="s">
        <v>899</v>
      </c>
      <c r="E81">
        <v>2003</v>
      </c>
      <c r="F81" s="243" t="s">
        <v>900</v>
      </c>
      <c r="G81" s="11" t="s">
        <v>901</v>
      </c>
    </row>
    <row r="82" spans="1:7" x14ac:dyDescent="0.25">
      <c r="A82">
        <v>11</v>
      </c>
      <c r="B82" t="s">
        <v>738</v>
      </c>
      <c r="C82" t="s">
        <v>902</v>
      </c>
      <c r="D82" t="s">
        <v>903</v>
      </c>
      <c r="E82">
        <v>2004</v>
      </c>
      <c r="F82" s="243" t="s">
        <v>904</v>
      </c>
      <c r="G82" s="11" t="s">
        <v>754</v>
      </c>
    </row>
    <row r="83" spans="1:7" x14ac:dyDescent="0.25">
      <c r="A83">
        <v>12</v>
      </c>
      <c r="B83" t="s">
        <v>738</v>
      </c>
      <c r="C83" t="s">
        <v>905</v>
      </c>
      <c r="D83" t="s">
        <v>906</v>
      </c>
      <c r="E83">
        <v>2008</v>
      </c>
      <c r="F83" s="243" t="s">
        <v>907</v>
      </c>
      <c r="G83" s="11" t="s">
        <v>754</v>
      </c>
    </row>
    <row r="84" spans="1:7" x14ac:dyDescent="0.25">
      <c r="A84">
        <v>13</v>
      </c>
      <c r="B84" t="s">
        <v>738</v>
      </c>
      <c r="C84" t="s">
        <v>908</v>
      </c>
      <c r="D84" t="s">
        <v>848</v>
      </c>
      <c r="E84">
        <v>2004</v>
      </c>
      <c r="F84" s="243" t="s">
        <v>909</v>
      </c>
      <c r="G84" s="11" t="s">
        <v>910</v>
      </c>
    </row>
    <row r="85" spans="1:7" x14ac:dyDescent="0.25">
      <c r="A85">
        <v>14</v>
      </c>
      <c r="B85" t="s">
        <v>738</v>
      </c>
      <c r="C85" t="s">
        <v>911</v>
      </c>
      <c r="D85" s="26" t="s">
        <v>912</v>
      </c>
      <c r="E85">
        <v>2001</v>
      </c>
      <c r="F85" t="s">
        <v>913</v>
      </c>
      <c r="G85" s="11" t="s">
        <v>914</v>
      </c>
    </row>
    <row r="86" spans="1:7" x14ac:dyDescent="0.25">
      <c r="A86">
        <v>15</v>
      </c>
      <c r="B86" t="s">
        <v>738</v>
      </c>
      <c r="C86" t="s">
        <v>915</v>
      </c>
      <c r="D86" t="s">
        <v>916</v>
      </c>
      <c r="E86">
        <v>2009</v>
      </c>
      <c r="F86" s="243" t="s">
        <v>917</v>
      </c>
      <c r="G86" s="11" t="s">
        <v>750</v>
      </c>
    </row>
    <row r="87" spans="1:7" x14ac:dyDescent="0.25">
      <c r="A87">
        <v>16</v>
      </c>
      <c r="B87" t="s">
        <v>738</v>
      </c>
      <c r="C87" s="11" t="s">
        <v>918</v>
      </c>
      <c r="D87" t="s">
        <v>919</v>
      </c>
      <c r="E87">
        <v>2004</v>
      </c>
      <c r="F87" s="243" t="s">
        <v>920</v>
      </c>
      <c r="G87" s="11" t="s">
        <v>921</v>
      </c>
    </row>
    <row r="88" spans="1:7" x14ac:dyDescent="0.25">
      <c r="A88">
        <v>17</v>
      </c>
      <c r="B88" t="s">
        <v>738</v>
      </c>
      <c r="C88" s="11" t="s">
        <v>922</v>
      </c>
      <c r="D88" t="s">
        <v>923</v>
      </c>
      <c r="E88">
        <v>2008</v>
      </c>
      <c r="F88" s="243" t="s">
        <v>195</v>
      </c>
      <c r="G88" s="11" t="s">
        <v>754</v>
      </c>
    </row>
    <row r="89" spans="1:7" x14ac:dyDescent="0.25">
      <c r="A89">
        <v>18</v>
      </c>
      <c r="B89" t="s">
        <v>738</v>
      </c>
      <c r="C89" t="s">
        <v>924</v>
      </c>
      <c r="D89" t="s">
        <v>848</v>
      </c>
      <c r="E89">
        <v>2003</v>
      </c>
      <c r="F89" s="243" t="s">
        <v>925</v>
      </c>
      <c r="G89" s="11" t="s">
        <v>926</v>
      </c>
    </row>
    <row r="90" spans="1:7" x14ac:dyDescent="0.25">
      <c r="A90">
        <v>19</v>
      </c>
      <c r="B90" t="s">
        <v>738</v>
      </c>
      <c r="C90" s="11" t="s">
        <v>927</v>
      </c>
      <c r="D90" t="s">
        <v>848</v>
      </c>
      <c r="E90">
        <v>2004</v>
      </c>
      <c r="F90" s="243" t="s">
        <v>928</v>
      </c>
      <c r="G90" s="11" t="s">
        <v>929</v>
      </c>
    </row>
    <row r="91" spans="1:7" x14ac:dyDescent="0.25">
      <c r="A91">
        <v>20</v>
      </c>
      <c r="B91" t="s">
        <v>738</v>
      </c>
      <c r="C91" s="26" t="s">
        <v>930</v>
      </c>
      <c r="D91" t="s">
        <v>931</v>
      </c>
      <c r="E91">
        <v>2010</v>
      </c>
      <c r="F91" s="243" t="s">
        <v>932</v>
      </c>
      <c r="G91" s="11" t="s">
        <v>933</v>
      </c>
    </row>
    <row r="92" spans="1:7" x14ac:dyDescent="0.25">
      <c r="A92">
        <v>21</v>
      </c>
      <c r="B92" t="s">
        <v>738</v>
      </c>
      <c r="C92" t="s">
        <v>934</v>
      </c>
      <c r="D92" t="s">
        <v>935</v>
      </c>
      <c r="E92">
        <v>2010</v>
      </c>
      <c r="F92" s="243" t="s">
        <v>936</v>
      </c>
      <c r="G92" s="11" t="s">
        <v>937</v>
      </c>
    </row>
    <row r="93" spans="1:7" ht="31.5" x14ac:dyDescent="0.25">
      <c r="A93">
        <v>22</v>
      </c>
      <c r="B93" t="s">
        <v>738</v>
      </c>
      <c r="C93" t="s">
        <v>938</v>
      </c>
      <c r="D93" t="s">
        <v>939</v>
      </c>
      <c r="E93">
        <v>2004</v>
      </c>
      <c r="F93" s="243" t="s">
        <v>940</v>
      </c>
      <c r="G93" s="11" t="s">
        <v>941</v>
      </c>
    </row>
    <row r="94" spans="1:7" x14ac:dyDescent="0.25">
      <c r="A94">
        <v>23</v>
      </c>
      <c r="B94" t="s">
        <v>738</v>
      </c>
      <c r="C94" t="s">
        <v>942</v>
      </c>
      <c r="D94" t="s">
        <v>713</v>
      </c>
      <c r="E94">
        <v>2006</v>
      </c>
      <c r="F94" s="243" t="s">
        <v>943</v>
      </c>
      <c r="G94" s="11" t="s">
        <v>742</v>
      </c>
    </row>
    <row r="95" spans="1:7" x14ac:dyDescent="0.25">
      <c r="A95">
        <v>24</v>
      </c>
      <c r="B95" t="s">
        <v>738</v>
      </c>
      <c r="C95" t="s">
        <v>944</v>
      </c>
      <c r="D95" t="s">
        <v>713</v>
      </c>
      <c r="E95">
        <v>2009</v>
      </c>
      <c r="F95" s="243" t="s">
        <v>945</v>
      </c>
      <c r="G95" s="11" t="s">
        <v>742</v>
      </c>
    </row>
    <row r="96" spans="1:7" x14ac:dyDescent="0.25">
      <c r="A96">
        <v>25</v>
      </c>
      <c r="B96" t="s">
        <v>738</v>
      </c>
      <c r="C96" t="s">
        <v>946</v>
      </c>
      <c r="D96" t="s">
        <v>947</v>
      </c>
      <c r="E96">
        <v>2004</v>
      </c>
      <c r="F96" s="243" t="s">
        <v>948</v>
      </c>
      <c r="G96" s="11" t="s">
        <v>750</v>
      </c>
    </row>
    <row r="97" spans="1:7" x14ac:dyDescent="0.25">
      <c r="A97">
        <v>26</v>
      </c>
      <c r="B97" t="s">
        <v>738</v>
      </c>
      <c r="C97" s="11" t="s">
        <v>949</v>
      </c>
      <c r="D97" t="s">
        <v>950</v>
      </c>
      <c r="E97">
        <v>2001</v>
      </c>
      <c r="F97" s="243" t="s">
        <v>951</v>
      </c>
      <c r="G97" s="11" t="s">
        <v>750</v>
      </c>
    </row>
    <row r="98" spans="1:7" x14ac:dyDescent="0.25">
      <c r="A98">
        <v>27</v>
      </c>
      <c r="B98" t="s">
        <v>738</v>
      </c>
      <c r="C98" s="11" t="s">
        <v>952</v>
      </c>
      <c r="D98" s="26" t="s">
        <v>953</v>
      </c>
      <c r="E98">
        <v>2004</v>
      </c>
      <c r="F98" s="243" t="s">
        <v>954</v>
      </c>
      <c r="G98" s="11" t="s">
        <v>750</v>
      </c>
    </row>
    <row r="99" spans="1:7" x14ac:dyDescent="0.25">
      <c r="A99">
        <v>28</v>
      </c>
      <c r="B99" t="s">
        <v>738</v>
      </c>
      <c r="C99" s="11" t="s">
        <v>955</v>
      </c>
      <c r="D99" t="s">
        <v>956</v>
      </c>
      <c r="E99">
        <v>2004</v>
      </c>
      <c r="F99" s="243" t="s">
        <v>957</v>
      </c>
      <c r="G99" s="11" t="s">
        <v>750</v>
      </c>
    </row>
    <row r="100" spans="1:7" x14ac:dyDescent="0.25">
      <c r="A100">
        <v>29</v>
      </c>
      <c r="B100" t="s">
        <v>738</v>
      </c>
      <c r="C100" s="11" t="s">
        <v>958</v>
      </c>
      <c r="D100" t="s">
        <v>959</v>
      </c>
      <c r="E100">
        <v>2004</v>
      </c>
      <c r="F100" s="243" t="s">
        <v>960</v>
      </c>
      <c r="G100" s="11" t="s">
        <v>754</v>
      </c>
    </row>
    <row r="101" spans="1:7" x14ac:dyDescent="0.25">
      <c r="A101">
        <v>30</v>
      </c>
      <c r="B101" t="s">
        <v>738</v>
      </c>
      <c r="C101" t="s">
        <v>961</v>
      </c>
      <c r="D101" t="s">
        <v>962</v>
      </c>
      <c r="E101">
        <v>2006</v>
      </c>
      <c r="F101" s="243" t="s">
        <v>963</v>
      </c>
      <c r="G101" s="11" t="s">
        <v>750</v>
      </c>
    </row>
    <row r="102" spans="1:7" x14ac:dyDescent="0.25">
      <c r="A102">
        <v>31</v>
      </c>
      <c r="B102" t="s">
        <v>738</v>
      </c>
      <c r="C102" s="11" t="s">
        <v>964</v>
      </c>
      <c r="D102" t="s">
        <v>965</v>
      </c>
      <c r="E102">
        <v>1990</v>
      </c>
      <c r="F102" s="243" t="s">
        <v>966</v>
      </c>
      <c r="G102" s="11" t="s">
        <v>754</v>
      </c>
    </row>
    <row r="103" spans="1:7" x14ac:dyDescent="0.25">
      <c r="A103">
        <v>32</v>
      </c>
      <c r="B103" t="s">
        <v>738</v>
      </c>
      <c r="C103" s="11" t="s">
        <v>967</v>
      </c>
      <c r="D103" t="s">
        <v>968</v>
      </c>
      <c r="E103">
        <v>2009</v>
      </c>
      <c r="F103" s="243" t="s">
        <v>969</v>
      </c>
      <c r="G103" s="11" t="s">
        <v>970</v>
      </c>
    </row>
    <row r="104" spans="1:7" x14ac:dyDescent="0.25">
      <c r="A104">
        <v>33</v>
      </c>
      <c r="B104" t="s">
        <v>738</v>
      </c>
      <c r="C104" s="11" t="s">
        <v>971</v>
      </c>
      <c r="D104" t="s">
        <v>972</v>
      </c>
      <c r="E104">
        <v>2009</v>
      </c>
      <c r="F104" s="243" t="s">
        <v>973</v>
      </c>
      <c r="G104" s="11" t="s">
        <v>754</v>
      </c>
    </row>
    <row r="105" spans="1:7" x14ac:dyDescent="0.25">
      <c r="A105">
        <v>34</v>
      </c>
      <c r="B105" t="s">
        <v>738</v>
      </c>
      <c r="C105" s="11" t="s">
        <v>974</v>
      </c>
      <c r="D105" t="s">
        <v>975</v>
      </c>
      <c r="E105">
        <v>2004</v>
      </c>
      <c r="F105" s="243" t="s">
        <v>976</v>
      </c>
      <c r="G105" s="11" t="s">
        <v>977</v>
      </c>
    </row>
    <row r="106" spans="1:7" x14ac:dyDescent="0.25">
      <c r="A106">
        <v>35</v>
      </c>
      <c r="B106" t="s">
        <v>738</v>
      </c>
      <c r="C106" s="11" t="s">
        <v>978</v>
      </c>
      <c r="D106" t="s">
        <v>979</v>
      </c>
      <c r="E106">
        <v>2003</v>
      </c>
      <c r="F106" s="243" t="s">
        <v>980</v>
      </c>
      <c r="G106" s="11" t="s">
        <v>754</v>
      </c>
    </row>
    <row r="107" spans="1:7" x14ac:dyDescent="0.25">
      <c r="B107" s="14">
        <f>COUNTIF(B72:B105,"Yes")</f>
        <v>9</v>
      </c>
      <c r="C107" s="19" t="s">
        <v>877</v>
      </c>
      <c r="F107" s="243"/>
    </row>
    <row r="108" spans="1:7" s="216" customFormat="1" ht="8.25" customHeight="1" x14ac:dyDescent="0.25">
      <c r="G108" s="228"/>
    </row>
    <row r="109" spans="1:7" x14ac:dyDescent="0.25">
      <c r="B109" s="14">
        <f>A68+A106</f>
        <v>95</v>
      </c>
      <c r="C109" s="14" t="s">
        <v>981</v>
      </c>
    </row>
    <row r="110" spans="1:7" x14ac:dyDescent="0.25">
      <c r="C110" s="14"/>
    </row>
    <row r="114" spans="3:6" x14ac:dyDescent="0.25">
      <c r="F114" s="243"/>
    </row>
    <row r="120" spans="3:6" x14ac:dyDescent="0.25">
      <c r="C120" s="11"/>
    </row>
  </sheetData>
  <mergeCells count="2">
    <mergeCell ref="B8:G8"/>
    <mergeCell ref="B71:G71"/>
  </mergeCells>
  <conditionalFormatting sqref="B72:B75 B1:B7 B110:B1048576 B77:B108 B9:B70">
    <cfRule type="containsText" dxfId="3" priority="6" operator="containsText" text="Yes">
      <formula>NOT(ISERROR(SEARCH("Yes",B1)))</formula>
    </cfRule>
  </conditionalFormatting>
  <conditionalFormatting sqref="B72:B75 B1:B7 B110:B1048576 B77:B108 B9:B70">
    <cfRule type="containsText" dxfId="2" priority="5" operator="containsText" text="No">
      <formula>NOT(ISERROR(SEARCH("No",B1)))</formula>
    </cfRule>
  </conditionalFormatting>
  <conditionalFormatting sqref="B76">
    <cfRule type="containsText" dxfId="1" priority="2" operator="containsText" text="Yes">
      <formula>NOT(ISERROR(SEARCH("Yes",B76)))</formula>
    </cfRule>
  </conditionalFormatting>
  <conditionalFormatting sqref="B76">
    <cfRule type="containsText" dxfId="0" priority="1" operator="containsText" text="No">
      <formula>NOT(ISERROR(SEARCH("No",B76)))</formula>
    </cfRule>
  </conditionalFormatting>
  <hyperlinks>
    <hyperlink ref="F11" r:id="rId1" xr:uid="{AA983B22-23CC-4B3C-ACE3-73BAB301AA63}"/>
    <hyperlink ref="F57" r:id="rId2" xr:uid="{9DAAF266-327E-46F9-A9EC-0CEAF086701F}"/>
    <hyperlink ref="F30" r:id="rId3" xr:uid="{DAD8FE68-A01A-4A0A-A8E6-AD0E436BB7E4}"/>
    <hyperlink ref="F64" r:id="rId4" xr:uid="{276E2EB0-FC42-495D-BA47-763A019E39CB}"/>
    <hyperlink ref="F28" r:id="rId5" xr:uid="{100BB4BD-9242-47C4-8DF5-84DB460D5B9D}"/>
    <hyperlink ref="F12" r:id="rId6" xr:uid="{338B10BE-3670-441D-85DA-911FFC8A58C6}"/>
    <hyperlink ref="F13" r:id="rId7" xr:uid="{70509692-CCED-4437-BE49-157E36BCBEE7}"/>
    <hyperlink ref="F32" r:id="rId8" xr:uid="{D8E21FF5-676A-4371-892A-173A79EF4DE8}"/>
    <hyperlink ref="F33" r:id="rId9" xr:uid="{15E4FB17-184F-42CD-9338-9D75427A7724}"/>
    <hyperlink ref="F34" r:id="rId10" xr:uid="{E44D66BA-769B-499E-BC6C-A08D4EA24502}"/>
    <hyperlink ref="F36" r:id="rId11" xr:uid="{C098D644-A4F7-4423-B796-DBB4669FC15A}"/>
    <hyperlink ref="F37" r:id="rId12" xr:uid="{0E082BEA-10B8-40F2-B5EE-75AC7A848A4A}"/>
    <hyperlink ref="F38" r:id="rId13" xr:uid="{23B59185-D2CB-4DBE-83BE-0D218FF6ECB3}"/>
    <hyperlink ref="F39" r:id="rId14" xr:uid="{49DF50C3-0F8F-45A0-95E5-D58840C67536}"/>
    <hyperlink ref="F26" r:id="rId15" xr:uid="{96634F72-40C3-4746-9EEA-2E1A1E92CFA7}"/>
    <hyperlink ref="F60" r:id="rId16" xr:uid="{90E4D7F3-E025-4525-BEFD-40D823F0610E}"/>
    <hyperlink ref="F80" r:id="rId17" xr:uid="{E10D4E04-F9C8-4DB5-B5F9-613617D7F504}"/>
    <hyperlink ref="F94" r:id="rId18" xr:uid="{947F3D38-9582-4135-8784-44A2A3877DA2}"/>
    <hyperlink ref="F61" r:id="rId19" xr:uid="{5101F29A-1D05-4AA8-BCDA-3421433F7592}"/>
    <hyperlink ref="F95" r:id="rId20" xr:uid="{473A7A9E-7B6E-45E7-A1A6-E056F8DB361B}"/>
    <hyperlink ref="F63" r:id="rId21" xr:uid="{C10D2D50-175F-4DEF-8AFA-DBCEB9D272DD}"/>
    <hyperlink ref="F16" r:id="rId22" xr:uid="{210194FB-4AE2-4A15-A0E4-B3C2049F2ABA}"/>
    <hyperlink ref="F40" r:id="rId23" xr:uid="{927503B5-2D33-475C-9E9B-EA657D75CFE1}"/>
    <hyperlink ref="F41" r:id="rId24" xr:uid="{97F677BF-7B9C-4C54-A2D1-DF9D689A1021}"/>
    <hyperlink ref="F42" r:id="rId25" xr:uid="{4A1EDB36-31EE-4BB3-8516-3C24E7221C8B}"/>
    <hyperlink ref="F43" r:id="rId26" xr:uid="{D1BD7175-99D9-496E-A315-11A5925938A3}"/>
    <hyperlink ref="F44" r:id="rId27" xr:uid="{38ED59D1-0D50-43A6-B279-C4C456A23D36}"/>
    <hyperlink ref="F45" r:id="rId28" xr:uid="{9B1345D3-0A61-481E-AD2D-E89995EC4DE3}"/>
    <hyperlink ref="F46" r:id="rId29" xr:uid="{AB9CCF2E-D85C-487B-8335-777B391BD151}"/>
    <hyperlink ref="F47" r:id="rId30" xr:uid="{A738D593-7492-4E1D-84E9-D8DE9708C054}"/>
    <hyperlink ref="F72" r:id="rId31" xr:uid="{B6ABFA90-92F8-4DBE-B838-565FFB9FCB9B}"/>
    <hyperlink ref="F48" r:id="rId32" xr:uid="{46E2FA8B-6BD5-4705-A320-7AB4607B3993}"/>
    <hyperlink ref="F17" r:id="rId33" xr:uid="{83924804-5728-42CD-8A24-3B312DE21977}"/>
    <hyperlink ref="F49" r:id="rId34" xr:uid="{17DD4820-A408-4123-A681-6B9A55128B54}"/>
    <hyperlink ref="F50" r:id="rId35" xr:uid="{2116011A-DD26-4973-AC81-66A2BD394197}"/>
    <hyperlink ref="F51" r:id="rId36" xr:uid="{925CACB0-CC04-4953-AE14-B214CAE41169}"/>
    <hyperlink ref="F52" r:id="rId37" xr:uid="{93A57296-FBE9-4773-A019-ADC4B11F960E}"/>
    <hyperlink ref="F86" r:id="rId38" xr:uid="{E8A1E5D2-755E-4CE8-979D-B81AC23F0F23}"/>
    <hyperlink ref="F53" r:id="rId39" xr:uid="{0A3CAE71-CA95-4D01-968B-6CA82A3B2457}"/>
    <hyperlink ref="F54" r:id="rId40" xr:uid="{E3B7A054-1787-45FB-AD13-593DC4659164}"/>
    <hyperlink ref="F55" r:id="rId41" xr:uid="{39A7FB18-300D-44DE-AC82-D307B4661607}"/>
    <hyperlink ref="F87" r:id="rId42" xr:uid="{1A217D48-AD6A-4F45-9A83-744FC5399125}"/>
    <hyperlink ref="F88" r:id="rId43" xr:uid="{88B97DEB-5C3E-41C2-947F-31862C302E52}"/>
    <hyperlink ref="F73" r:id="rId44" xr:uid="{94E78AF1-9AA1-42AB-A2E8-F8B3C951AADE}"/>
    <hyperlink ref="E75" r:id="rId45" display="https://doi.org/10.1109/ISEE.2008.4562888" xr:uid="{73AE61AC-7496-4D74-9ED0-9CF73CBFFF84}"/>
    <hyperlink ref="F56" r:id="rId46" xr:uid="{9A854267-7295-4565-9983-387E96FD2A66}"/>
    <hyperlink ref="F92" r:id="rId47" xr:uid="{5905F524-210A-44B3-9D3F-E7D19859F481}"/>
    <hyperlink ref="F9" r:id="rId48" xr:uid="{099C304C-4F76-4CE0-BA02-15F2B70F5FF5}"/>
    <hyperlink ref="F65" r:id="rId49" xr:uid="{A3FC9585-EE29-4708-8BB2-00093FD14ED6}"/>
    <hyperlink ref="F91" r:id="rId50" xr:uid="{B0B1A06C-B610-41D9-AC59-EE02768743EE}"/>
    <hyperlink ref="F74" r:id="rId51" xr:uid="{8E5DD2AA-E221-44FF-90A6-44DB85D6B289}"/>
    <hyperlink ref="F82" r:id="rId52" xr:uid="{6E610E6C-1C55-43E9-8AF6-7A00FFA7C97C}"/>
    <hyperlink ref="F83" r:id="rId53" xr:uid="{552BDD54-8511-4960-A2E5-48FD14C6B133}"/>
    <hyperlink ref="F58" r:id="rId54" xr:uid="{1563D6BB-B89B-455E-A972-1DEACA67C6F3}"/>
    <hyperlink ref="F84" r:id="rId55" xr:uid="{3F6A3A27-8F9E-4739-922B-716A2D6EB269}"/>
    <hyperlink ref="F75" r:id="rId56" xr:uid="{7D7CB1B5-90A4-462F-B5BE-798828FC78D9}"/>
    <hyperlink ref="F81" r:id="rId57" xr:uid="{328E6C67-3280-4EBE-A4A6-F1D26DAFEB8C}"/>
    <hyperlink ref="F59" r:id="rId58" xr:uid="{9E59B45E-9218-4516-BE58-1FB48A1044A9}"/>
    <hyperlink ref="F15" r:id="rId59" xr:uid="{2F361549-70A2-460F-9302-7C5850A1010A}"/>
    <hyperlink ref="F19" r:id="rId60" xr:uid="{87F5A5B7-F1E4-436D-AF0D-275D0D4518FA}"/>
    <hyperlink ref="F20" r:id="rId61" xr:uid="{14D501F5-924F-472B-AB4F-91AEB0D58E23}"/>
    <hyperlink ref="F21" r:id="rId62" xr:uid="{76D279D1-600D-4389-A311-85BDD9807FF8}"/>
    <hyperlink ref="F22" r:id="rId63" xr:uid="{A35F5905-2EEF-4D32-825D-A34C50EEC2AD}"/>
    <hyperlink ref="F23" r:id="rId64" xr:uid="{E5BF32C1-E328-431A-85FD-55BE216A80AA}"/>
    <hyperlink ref="F25" r:id="rId65" xr:uid="{E21A07A7-5C00-4CB2-9227-365DC4969141}"/>
    <hyperlink ref="F76" r:id="rId66" xr:uid="{D54D2123-DE1E-4BE3-9403-8A6BA0CD4BD3}"/>
    <hyperlink ref="F77" r:id="rId67" xr:uid="{B46DD78B-2E26-4DBA-A894-E7E1053DCB54}"/>
    <hyperlink ref="F78" r:id="rId68" xr:uid="{C1309AAC-ECBE-4B1F-90CA-2C682A784ECC}"/>
    <hyperlink ref="F79" r:id="rId69" xr:uid="{869A0B3A-4574-4ADA-AB19-4B70638D6A9E}"/>
    <hyperlink ref="F89" r:id="rId70" xr:uid="{737D5C9D-860B-45D8-ADE9-3BF78E3A516A}"/>
    <hyperlink ref="F90" r:id="rId71" xr:uid="{56BC324D-8841-4C12-8D66-B64FB735F691}"/>
    <hyperlink ref="F18" r:id="rId72" xr:uid="{7C36E905-77B5-44B9-8CA9-AF4AA3E14F75}"/>
    <hyperlink ref="F93" r:id="rId73" xr:uid="{FC891DB3-3461-46C5-82CB-1178741E1B84}"/>
    <hyperlink ref="F35" r:id="rId74" xr:uid="{8CE5BEB8-7FB8-443F-8C23-A6E015B7D504}"/>
    <hyperlink ref="F29" r:id="rId75" xr:uid="{ED027E42-2843-4AC2-9210-C90C774430DC}"/>
    <hyperlink ref="F31" r:id="rId76" xr:uid="{350D2DE6-C7FD-4E5B-9DF4-A17F51943B07}"/>
    <hyperlink ref="F96" r:id="rId77" xr:uid="{CB1F2E57-45C4-4BD1-A4F4-830296F76085}"/>
    <hyperlink ref="F97" r:id="rId78" xr:uid="{32136502-D52A-4E4F-B367-E57947D9105C}"/>
    <hyperlink ref="F10" r:id="rId79" xr:uid="{9965BB71-F69F-45E2-B6FD-8B6084C7FD80}"/>
    <hyperlink ref="F98" r:id="rId80" xr:uid="{66B842B2-5F87-4C22-BA70-8F8EB0B1EE9A}"/>
    <hyperlink ref="F99" r:id="rId81" xr:uid="{B0DA0B79-E133-4591-9E06-049C053BB73F}"/>
    <hyperlink ref="F100" r:id="rId82" xr:uid="{6184507F-9A13-41BA-A55B-D1E194C54D6F}"/>
    <hyperlink ref="F66" r:id="rId83" xr:uid="{5DA00B94-287E-484D-9968-4EC9372BAC6B}"/>
    <hyperlink ref="F101" r:id="rId84" xr:uid="{1C628BEF-9D97-48DB-9BA3-5DD3E3045A36}"/>
    <hyperlink ref="F102" r:id="rId85" xr:uid="{FBB31805-04E3-4BA2-97E8-07B6FCFE2466}"/>
    <hyperlink ref="F103" r:id="rId86" xr:uid="{D7E6B129-78F1-487B-888E-3E7590287356}"/>
    <hyperlink ref="F104" r:id="rId87" xr:uid="{C378E881-B2B4-4DCE-A8E7-700A7D7C9BD4}"/>
    <hyperlink ref="F14" r:id="rId88" xr:uid="{5D8AD679-C44F-40DF-A632-E67B7AD6C927}"/>
    <hyperlink ref="F24" r:id="rId89" xr:uid="{11ED90D2-350B-438B-94B8-20B5C1C89D28}"/>
    <hyperlink ref="F62" r:id="rId90" xr:uid="{6AEDE648-3238-4A07-B598-D3C58E797E0B}"/>
    <hyperlink ref="F27" r:id="rId91" xr:uid="{BAFBBAA5-02D2-4BD2-9EF1-399A9833C3E5}"/>
    <hyperlink ref="F105" r:id="rId92" xr:uid="{5838FC5D-9FB6-41C2-94AD-7820B6E4FE16}"/>
    <hyperlink ref="F67" r:id="rId93" xr:uid="{FFA02E0B-9C14-4993-BCE5-24CF12B81F81}"/>
    <hyperlink ref="F106" r:id="rId94" xr:uid="{33F996EF-4866-40E1-9810-C541C03D505F}"/>
    <hyperlink ref="F68" r:id="rId95" xr:uid="{96C75E85-21DB-4AF4-BF7E-BBE3DC77C26D}"/>
  </hyperlinks>
  <pageMargins left="0.7" right="0.7" top="0.75" bottom="0.75" header="0.3" footer="0.3"/>
  <pageSetup paperSize="9" orientation="portrait" r:id="rId96"/>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7494A9-82D5-4520-A41B-BF3947D6684C}">
  <sheetPr>
    <tabColor rgb="FF44546A"/>
  </sheetPr>
  <dimension ref="A2:AF24"/>
  <sheetViews>
    <sheetView workbookViewId="0">
      <selection sqref="A1:A1048576"/>
    </sheetView>
  </sheetViews>
  <sheetFormatPr defaultRowHeight="15.75" x14ac:dyDescent="0.25"/>
  <cols>
    <col min="1" max="1" width="1.25" style="216" customWidth="1"/>
    <col min="4" max="4" width="14" customWidth="1"/>
    <col min="9" max="9" width="1.25" style="216" customWidth="1"/>
    <col min="12" max="12" width="12.375" customWidth="1"/>
    <col min="17" max="17" width="1.25" style="216" customWidth="1"/>
    <col min="20" max="20" width="13.125" customWidth="1"/>
    <col min="25" max="25" width="1.25" style="216" customWidth="1"/>
    <col min="32" max="32" width="1.25" style="216" customWidth="1"/>
  </cols>
  <sheetData>
    <row r="2" spans="2:30" x14ac:dyDescent="0.25">
      <c r="B2" s="237" t="s">
        <v>507</v>
      </c>
      <c r="C2" s="167" t="s">
        <v>100</v>
      </c>
      <c r="J2" s="237" t="s">
        <v>507</v>
      </c>
      <c r="K2" s="85" t="s">
        <v>106</v>
      </c>
      <c r="R2" s="237" t="s">
        <v>507</v>
      </c>
      <c r="S2" s="167" t="s">
        <v>110</v>
      </c>
      <c r="Z2" s="237" t="s">
        <v>507</v>
      </c>
      <c r="AA2" s="167" t="s">
        <v>812</v>
      </c>
    </row>
    <row r="3" spans="2:30" x14ac:dyDescent="0.25">
      <c r="C3" t="s">
        <v>982</v>
      </c>
    </row>
    <row r="4" spans="2:30" ht="21" x14ac:dyDescent="0.25">
      <c r="B4" s="402" t="s">
        <v>983</v>
      </c>
      <c r="C4" s="402"/>
      <c r="D4" s="402"/>
      <c r="J4" s="402" t="s">
        <v>983</v>
      </c>
      <c r="K4" s="402"/>
      <c r="L4" s="402"/>
      <c r="R4" s="402" t="s">
        <v>983</v>
      </c>
      <c r="S4" s="402"/>
      <c r="T4" s="402"/>
      <c r="Z4" s="402" t="s">
        <v>983</v>
      </c>
      <c r="AA4" s="402"/>
      <c r="AB4" s="402"/>
    </row>
    <row r="5" spans="2:30" x14ac:dyDescent="0.25">
      <c r="C5" s="239"/>
      <c r="D5" s="256" t="s">
        <v>550</v>
      </c>
      <c r="K5" s="239"/>
      <c r="L5" s="256" t="s">
        <v>550</v>
      </c>
      <c r="S5" s="239"/>
      <c r="T5" s="256" t="s">
        <v>550</v>
      </c>
    </row>
    <row r="6" spans="2:30" x14ac:dyDescent="0.25">
      <c r="B6" t="s">
        <v>984</v>
      </c>
      <c r="D6" s="29">
        <v>2.2000000000000002</v>
      </c>
      <c r="J6" t="s">
        <v>984</v>
      </c>
      <c r="L6" s="29">
        <v>2.17</v>
      </c>
      <c r="T6">
        <f>0.0202*100+0.142</f>
        <v>2.1619999999999999</v>
      </c>
    </row>
    <row r="16" spans="2:30" ht="15.75" customHeight="1" x14ac:dyDescent="0.25">
      <c r="Z16" s="403" t="s">
        <v>985</v>
      </c>
      <c r="AA16" s="403"/>
      <c r="AB16" s="403"/>
      <c r="AC16" s="403"/>
      <c r="AD16" s="403"/>
    </row>
    <row r="17" spans="10:30" x14ac:dyDescent="0.25">
      <c r="Z17" s="403"/>
      <c r="AA17" s="403"/>
      <c r="AB17" s="403"/>
      <c r="AC17" s="403"/>
      <c r="AD17" s="403"/>
    </row>
    <row r="18" spans="10:30" x14ac:dyDescent="0.25">
      <c r="Z18" s="403"/>
      <c r="AA18" s="403"/>
      <c r="AB18" s="403"/>
      <c r="AC18" s="403"/>
      <c r="AD18" s="403"/>
    </row>
    <row r="19" spans="10:30" x14ac:dyDescent="0.25">
      <c r="Z19" s="403"/>
      <c r="AA19" s="403"/>
      <c r="AB19" s="403"/>
      <c r="AC19" s="403"/>
      <c r="AD19" s="403"/>
    </row>
    <row r="20" spans="10:30" x14ac:dyDescent="0.25">
      <c r="Z20" s="403"/>
      <c r="AA20" s="403"/>
      <c r="AB20" s="403"/>
      <c r="AC20" s="403"/>
      <c r="AD20" s="403"/>
    </row>
    <row r="24" spans="10:30" x14ac:dyDescent="0.25">
      <c r="J24" s="230" t="s">
        <v>986</v>
      </c>
    </row>
  </sheetData>
  <mergeCells count="5">
    <mergeCell ref="B4:D4"/>
    <mergeCell ref="J4:L4"/>
    <mergeCell ref="R4:T4"/>
    <mergeCell ref="Z4:AB4"/>
    <mergeCell ref="Z16:AD20"/>
  </mergeCells>
  <hyperlinks>
    <hyperlink ref="C2" r:id="rId1" xr:uid="{1432ABB8-8132-47F3-8812-48376170B242}"/>
    <hyperlink ref="K2" r:id="rId2" xr:uid="{5E7B9194-0E80-47B2-B830-CD5F3B3197D9}"/>
    <hyperlink ref="S2" r:id="rId3" xr:uid="{A7B5577E-4E3B-4C2B-B97A-2EC17856E7A2}"/>
    <hyperlink ref="AA2" r:id="rId4" xr:uid="{463F4E74-1DA0-4071-B66C-5FDCFCB81D8B}"/>
  </hyperlinks>
  <pageMargins left="0.7" right="0.7" top="0.75" bottom="0.75" header="0.3" footer="0.3"/>
  <pageSetup paperSize="9" orientation="portrait" r:id="rId5"/>
  <drawing r:id="rId6"/>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EB5F2C-0042-4ACA-AFC1-A23ECB7D3397}">
  <sheetPr>
    <tabColor rgb="FF44546A"/>
  </sheetPr>
  <dimension ref="A2:P95"/>
  <sheetViews>
    <sheetView topLeftCell="A11" workbookViewId="0">
      <selection activeCell="R13" sqref="R13"/>
    </sheetView>
  </sheetViews>
  <sheetFormatPr defaultRowHeight="15.75" x14ac:dyDescent="0.25"/>
  <cols>
    <col min="1" max="1" width="1.25" style="216" customWidth="1"/>
    <col min="2" max="2" width="81.625" customWidth="1"/>
    <col min="3" max="5" width="15.625" customWidth="1"/>
    <col min="6" max="6" width="15.5" customWidth="1"/>
    <col min="7" max="7" width="15.625" customWidth="1"/>
    <col min="12" max="12" width="18" customWidth="1"/>
    <col min="14" max="14" width="1.25" style="216" customWidth="1"/>
  </cols>
  <sheetData>
    <row r="2" spans="2:16" x14ac:dyDescent="0.25">
      <c r="B2" s="237" t="s">
        <v>507</v>
      </c>
      <c r="C2" s="167" t="s">
        <v>987</v>
      </c>
    </row>
    <row r="3" spans="2:16" x14ac:dyDescent="0.25">
      <c r="C3" t="s">
        <v>988</v>
      </c>
    </row>
    <row r="4" spans="2:16" ht="59.25" customHeight="1" x14ac:dyDescent="0.25">
      <c r="B4" s="402" t="s">
        <v>989</v>
      </c>
      <c r="C4" s="402"/>
      <c r="D4" s="402"/>
      <c r="E4" s="402"/>
      <c r="F4" s="402"/>
      <c r="G4" s="402"/>
      <c r="H4" s="402"/>
      <c r="I4" s="402"/>
      <c r="J4" s="402"/>
      <c r="K4" s="402"/>
      <c r="L4" s="402"/>
      <c r="M4" t="s">
        <v>990</v>
      </c>
    </row>
    <row r="5" spans="2:16" x14ac:dyDescent="0.25">
      <c r="B5" s="14" t="s">
        <v>991</v>
      </c>
      <c r="C5">
        <v>28</v>
      </c>
      <c r="D5">
        <v>20</v>
      </c>
      <c r="E5">
        <v>14</v>
      </c>
      <c r="F5">
        <v>10</v>
      </c>
      <c r="G5" t="s">
        <v>992</v>
      </c>
      <c r="H5" t="s">
        <v>993</v>
      </c>
      <c r="I5">
        <v>6</v>
      </c>
      <c r="J5">
        <v>5</v>
      </c>
      <c r="K5">
        <v>3</v>
      </c>
      <c r="L5" s="15" t="s">
        <v>994</v>
      </c>
    </row>
    <row r="6" spans="2:16" x14ac:dyDescent="0.25">
      <c r="B6" s="92" t="s">
        <v>995</v>
      </c>
      <c r="C6" s="190">
        <v>0.746</v>
      </c>
      <c r="D6" s="190">
        <f>0.9</f>
        <v>0.9</v>
      </c>
      <c r="E6" s="190">
        <v>0.88600000000000001</v>
      </c>
      <c r="F6" s="190">
        <v>1.157</v>
      </c>
      <c r="G6" s="190">
        <f>1.289</f>
        <v>1.2889999999999999</v>
      </c>
      <c r="H6" s="190">
        <v>1.637</v>
      </c>
      <c r="I6" s="190">
        <f>2.169</f>
        <v>2.169</v>
      </c>
      <c r="J6" s="190">
        <f>2.254</f>
        <v>2.254</v>
      </c>
      <c r="K6" s="190">
        <f>2.566</f>
        <v>2.5659999999999998</v>
      </c>
      <c r="L6" s="154" t="s">
        <v>996</v>
      </c>
      <c r="O6" s="7"/>
    </row>
    <row r="7" spans="2:16" x14ac:dyDescent="0.25">
      <c r="B7" s="92" t="s">
        <v>997</v>
      </c>
      <c r="C7" s="78">
        <f>0.177</f>
        <v>0.17699999999999999</v>
      </c>
      <c r="D7" s="78">
        <v>0.19400000000000001</v>
      </c>
      <c r="E7" s="78">
        <f>0.199</f>
        <v>0.19900000000000001</v>
      </c>
      <c r="F7" s="78">
        <f>0.246</f>
        <v>0.246</v>
      </c>
      <c r="G7" s="78">
        <f>0.245</f>
        <v>0.245</v>
      </c>
      <c r="H7" s="78">
        <f>0.358</f>
        <v>0.35799999999999998</v>
      </c>
      <c r="I7" s="78">
        <f>0.425</f>
        <v>0.42499999999999999</v>
      </c>
      <c r="J7" s="78">
        <f>0.433</f>
        <v>0.433</v>
      </c>
      <c r="K7" s="78">
        <f>0.482</f>
        <v>0.48199999999999998</v>
      </c>
      <c r="L7" s="154" t="s">
        <v>996</v>
      </c>
      <c r="O7" s="7"/>
    </row>
    <row r="8" spans="2:16" x14ac:dyDescent="0.25">
      <c r="B8" s="245" t="s">
        <v>998</v>
      </c>
      <c r="C8" s="313">
        <f t="shared" ref="C8:K8" si="0">C6+C7</f>
        <v>0.92300000000000004</v>
      </c>
      <c r="D8" s="313">
        <f t="shared" si="0"/>
        <v>1.0940000000000001</v>
      </c>
      <c r="E8" s="313">
        <f t="shared" si="0"/>
        <v>1.085</v>
      </c>
      <c r="F8" s="313">
        <f t="shared" si="0"/>
        <v>1.403</v>
      </c>
      <c r="G8" s="313">
        <f t="shared" si="0"/>
        <v>1.5339999999999998</v>
      </c>
      <c r="H8" s="313">
        <f t="shared" si="0"/>
        <v>1.9950000000000001</v>
      </c>
      <c r="I8" s="313">
        <f t="shared" si="0"/>
        <v>2.5939999999999999</v>
      </c>
      <c r="J8" s="313">
        <f t="shared" si="0"/>
        <v>2.6869999999999998</v>
      </c>
      <c r="K8" s="313">
        <f t="shared" si="0"/>
        <v>3.048</v>
      </c>
      <c r="L8" s="247" t="s">
        <v>996</v>
      </c>
      <c r="O8" s="7"/>
    </row>
    <row r="9" spans="2:16" x14ac:dyDescent="0.25">
      <c r="O9" s="7"/>
    </row>
    <row r="10" spans="2:16" x14ac:dyDescent="0.25">
      <c r="O10" s="7"/>
    </row>
    <row r="11" spans="2:16" ht="21" x14ac:dyDescent="0.25">
      <c r="B11" s="402" t="s">
        <v>555</v>
      </c>
      <c r="C11" s="402"/>
      <c r="D11" s="402"/>
      <c r="E11" s="402"/>
      <c r="F11" s="402"/>
      <c r="G11" s="402"/>
      <c r="H11" s="402"/>
      <c r="I11" s="402"/>
      <c r="J11" s="402"/>
      <c r="K11" s="402"/>
      <c r="L11" s="402"/>
      <c r="M11" t="s">
        <v>990</v>
      </c>
      <c r="O11" s="7"/>
    </row>
    <row r="12" spans="2:16" x14ac:dyDescent="0.25">
      <c r="B12" s="14" t="s">
        <v>991</v>
      </c>
      <c r="C12">
        <v>28</v>
      </c>
      <c r="D12">
        <v>20</v>
      </c>
      <c r="E12">
        <v>14</v>
      </c>
      <c r="F12">
        <v>10</v>
      </c>
      <c r="G12" t="s">
        <v>992</v>
      </c>
      <c r="H12" t="s">
        <v>993</v>
      </c>
      <c r="I12">
        <v>6</v>
      </c>
      <c r="J12">
        <v>5</v>
      </c>
      <c r="K12">
        <v>3</v>
      </c>
      <c r="L12" s="15" t="s">
        <v>994</v>
      </c>
      <c r="O12" s="2"/>
      <c r="P12" s="2"/>
    </row>
    <row r="13" spans="2:16" x14ac:dyDescent="0.25">
      <c r="B13" s="151" t="s">
        <v>999</v>
      </c>
      <c r="C13" s="29">
        <f>0.943</f>
        <v>0.94299999999999995</v>
      </c>
      <c r="D13" s="29">
        <f>1.146</f>
        <v>1.1459999999999999</v>
      </c>
      <c r="E13" s="29">
        <f>1.134</f>
        <v>1.1339999999999999</v>
      </c>
      <c r="F13" s="29">
        <f>1.465</f>
        <v>1.4650000000000001</v>
      </c>
      <c r="G13" s="29">
        <f>1.639</f>
        <v>1.639</v>
      </c>
      <c r="H13" s="29">
        <f>2.098</f>
        <v>2.0979999999999999</v>
      </c>
      <c r="I13" s="29">
        <f>2.767</f>
        <v>2.7669999999999999</v>
      </c>
      <c r="J13" s="29">
        <f>2.871</f>
        <v>2.871</v>
      </c>
      <c r="K13" s="29">
        <f>3.273</f>
        <v>3.2730000000000001</v>
      </c>
      <c r="L13" s="15" t="s">
        <v>1000</v>
      </c>
      <c r="O13" s="2"/>
      <c r="P13" s="2"/>
    </row>
    <row r="14" spans="2:16" ht="23.25" customHeight="1" x14ac:dyDescent="0.25">
      <c r="B14" s="152" t="s">
        <v>1001</v>
      </c>
      <c r="C14" s="252">
        <f>C13*Parameters!$C$12*Parameters!$C$3</f>
        <v>8.4870000000000001</v>
      </c>
      <c r="D14" s="252">
        <f>D13*Parameters!$C$12*Parameters!$C$3</f>
        <v>10.313999999999998</v>
      </c>
      <c r="E14" s="252">
        <f>E13*Parameters!$C$12*Parameters!$C$3</f>
        <v>10.206</v>
      </c>
      <c r="F14" s="252">
        <f>F13*Parameters!$C$12*Parameters!$C$3</f>
        <v>13.185</v>
      </c>
      <c r="G14" s="252">
        <f>G13*Parameters!$C$12*Parameters!$C$3</f>
        <v>14.751000000000001</v>
      </c>
      <c r="H14" s="252">
        <f>H13*Parameters!$C$12*Parameters!$C$3</f>
        <v>18.881999999999998</v>
      </c>
      <c r="I14" s="252">
        <f>I13*Parameters!$C$12*Parameters!$C$3</f>
        <v>24.902999999999999</v>
      </c>
      <c r="J14" s="252">
        <f>J13*Parameters!$C$12*Parameters!$C$3</f>
        <v>25.838999999999999</v>
      </c>
      <c r="K14" s="252">
        <f>K13*Parameters!$C$12*Parameters!$C$3</f>
        <v>29.457000000000001</v>
      </c>
      <c r="L14" s="153" t="s">
        <v>552</v>
      </c>
      <c r="O14" s="2"/>
      <c r="P14" s="2"/>
    </row>
    <row r="15" spans="2:16" x14ac:dyDescent="0.25">
      <c r="O15" s="2"/>
      <c r="P15" s="2"/>
    </row>
    <row r="16" spans="2:16" x14ac:dyDescent="0.25">
      <c r="O16" s="2"/>
      <c r="P16" s="2"/>
    </row>
    <row r="17" spans="2:16" ht="21" x14ac:dyDescent="0.25">
      <c r="B17" s="402" t="s">
        <v>556</v>
      </c>
      <c r="C17" s="402"/>
      <c r="D17" s="402"/>
      <c r="E17" s="402"/>
      <c r="F17" s="402"/>
      <c r="G17" s="402"/>
      <c r="H17" s="402"/>
      <c r="I17" s="402"/>
      <c r="J17" s="402"/>
      <c r="K17" s="402"/>
      <c r="L17" s="402"/>
      <c r="M17" t="s">
        <v>990</v>
      </c>
      <c r="O17" s="2"/>
      <c r="P17" s="2"/>
    </row>
    <row r="18" spans="2:16" x14ac:dyDescent="0.25">
      <c r="B18" s="14" t="s">
        <v>991</v>
      </c>
      <c r="C18">
        <v>28</v>
      </c>
      <c r="D18">
        <v>20</v>
      </c>
      <c r="E18">
        <v>14</v>
      </c>
      <c r="F18">
        <v>10</v>
      </c>
      <c r="G18" t="s">
        <v>992</v>
      </c>
      <c r="H18" t="s">
        <v>993</v>
      </c>
      <c r="I18">
        <v>6</v>
      </c>
      <c r="J18">
        <v>5</v>
      </c>
      <c r="K18">
        <v>3</v>
      </c>
      <c r="L18" s="15" t="s">
        <v>994</v>
      </c>
    </row>
    <row r="19" spans="2:16" x14ac:dyDescent="0.25">
      <c r="B19" s="152" t="s">
        <v>1002</v>
      </c>
      <c r="C19" s="252">
        <f>5.764</f>
        <v>5.7640000000000002</v>
      </c>
      <c r="D19" s="252">
        <f>6.364</f>
        <v>6.3639999999999999</v>
      </c>
      <c r="E19" s="252">
        <f>6.182</f>
        <v>6.1820000000000004</v>
      </c>
      <c r="F19" s="252">
        <f>7.591</f>
        <v>7.5910000000000002</v>
      </c>
      <c r="G19" s="252">
        <f>7.926</f>
        <v>7.9260000000000002</v>
      </c>
      <c r="H19" s="252">
        <f>10.045</f>
        <v>10.045</v>
      </c>
      <c r="I19" s="252">
        <f>12.374</f>
        <v>12.374000000000001</v>
      </c>
      <c r="J19" s="252">
        <f>12.611</f>
        <v>12.611000000000001</v>
      </c>
      <c r="K19" s="252">
        <f>14.41</f>
        <v>14.41</v>
      </c>
      <c r="L19" s="153" t="s">
        <v>1003</v>
      </c>
    </row>
    <row r="25" spans="2:16" x14ac:dyDescent="0.25">
      <c r="L25" t="s">
        <v>1004</v>
      </c>
    </row>
    <row r="26" spans="2:16" x14ac:dyDescent="0.25">
      <c r="C26" t="s">
        <v>1005</v>
      </c>
      <c r="L26" t="s">
        <v>1006</v>
      </c>
    </row>
    <row r="27" spans="2:16" x14ac:dyDescent="0.25">
      <c r="C27" t="s">
        <v>1007</v>
      </c>
      <c r="L27" t="s">
        <v>1008</v>
      </c>
    </row>
    <row r="28" spans="2:16" x14ac:dyDescent="0.25">
      <c r="C28" t="s">
        <v>1009</v>
      </c>
      <c r="L28" t="s">
        <v>1010</v>
      </c>
    </row>
    <row r="29" spans="2:16" x14ac:dyDescent="0.25">
      <c r="C29" t="s">
        <v>1011</v>
      </c>
      <c r="L29" t="s">
        <v>1012</v>
      </c>
    </row>
    <row r="30" spans="2:16" x14ac:dyDescent="0.25">
      <c r="C30" t="s">
        <v>1013</v>
      </c>
      <c r="L30" t="s">
        <v>1014</v>
      </c>
    </row>
    <row r="31" spans="2:16" x14ac:dyDescent="0.25">
      <c r="C31" t="s">
        <v>1015</v>
      </c>
      <c r="L31" t="s">
        <v>1016</v>
      </c>
    </row>
    <row r="32" spans="2:16" x14ac:dyDescent="0.25">
      <c r="C32" t="s">
        <v>1017</v>
      </c>
      <c r="L32" t="s">
        <v>1018</v>
      </c>
    </row>
    <row r="33" spans="3:12" x14ac:dyDescent="0.25">
      <c r="C33" t="s">
        <v>1019</v>
      </c>
      <c r="L33" t="s">
        <v>1020</v>
      </c>
    </row>
    <row r="34" spans="3:12" x14ac:dyDescent="0.25">
      <c r="C34" t="s">
        <v>1021</v>
      </c>
      <c r="L34" t="s">
        <v>1022</v>
      </c>
    </row>
    <row r="35" spans="3:12" x14ac:dyDescent="0.25">
      <c r="C35" t="s">
        <v>1023</v>
      </c>
      <c r="L35" t="s">
        <v>1024</v>
      </c>
    </row>
    <row r="36" spans="3:12" x14ac:dyDescent="0.25">
      <c r="C36" t="s">
        <v>1025</v>
      </c>
    </row>
    <row r="54" spans="7:7" x14ac:dyDescent="0.25">
      <c r="G54" t="s">
        <v>1026</v>
      </c>
    </row>
    <row r="55" spans="7:7" x14ac:dyDescent="0.25">
      <c r="G55" t="s">
        <v>1027</v>
      </c>
    </row>
    <row r="56" spans="7:7" x14ac:dyDescent="0.25">
      <c r="G56" t="s">
        <v>1028</v>
      </c>
    </row>
    <row r="57" spans="7:7" x14ac:dyDescent="0.25">
      <c r="G57" t="s">
        <v>1029</v>
      </c>
    </row>
    <row r="58" spans="7:7" x14ac:dyDescent="0.25">
      <c r="G58" t="s">
        <v>1030</v>
      </c>
    </row>
    <row r="59" spans="7:7" x14ac:dyDescent="0.25">
      <c r="G59" t="s">
        <v>1031</v>
      </c>
    </row>
    <row r="60" spans="7:7" x14ac:dyDescent="0.25">
      <c r="G60" t="s">
        <v>1032</v>
      </c>
    </row>
    <row r="61" spans="7:7" x14ac:dyDescent="0.25">
      <c r="G61" t="s">
        <v>1033</v>
      </c>
    </row>
    <row r="62" spans="7:7" x14ac:dyDescent="0.25">
      <c r="G62" t="s">
        <v>1034</v>
      </c>
    </row>
    <row r="63" spans="7:7" x14ac:dyDescent="0.25">
      <c r="G63" t="s">
        <v>1035</v>
      </c>
    </row>
    <row r="64" spans="7:7" x14ac:dyDescent="0.25">
      <c r="G64" t="s">
        <v>1036</v>
      </c>
    </row>
    <row r="65" spans="7:7" x14ac:dyDescent="0.25">
      <c r="G65" t="s">
        <v>1037</v>
      </c>
    </row>
    <row r="66" spans="7:7" x14ac:dyDescent="0.25">
      <c r="G66" t="s">
        <v>1038</v>
      </c>
    </row>
    <row r="67" spans="7:7" x14ac:dyDescent="0.25">
      <c r="G67" t="s">
        <v>1039</v>
      </c>
    </row>
    <row r="85" spans="5:5" x14ac:dyDescent="0.25">
      <c r="E85" t="s">
        <v>1040</v>
      </c>
    </row>
    <row r="86" spans="5:5" x14ac:dyDescent="0.25">
      <c r="E86" t="s">
        <v>1041</v>
      </c>
    </row>
    <row r="87" spans="5:5" x14ac:dyDescent="0.25">
      <c r="E87" t="s">
        <v>1042</v>
      </c>
    </row>
    <row r="88" spans="5:5" x14ac:dyDescent="0.25">
      <c r="E88" t="s">
        <v>1043</v>
      </c>
    </row>
    <row r="89" spans="5:5" x14ac:dyDescent="0.25">
      <c r="E89" t="s">
        <v>1044</v>
      </c>
    </row>
    <row r="90" spans="5:5" x14ac:dyDescent="0.25">
      <c r="E90" t="s">
        <v>1045</v>
      </c>
    </row>
    <row r="91" spans="5:5" x14ac:dyDescent="0.25">
      <c r="E91" t="s">
        <v>1046</v>
      </c>
    </row>
    <row r="92" spans="5:5" x14ac:dyDescent="0.25">
      <c r="E92" t="s">
        <v>1047</v>
      </c>
    </row>
    <row r="93" spans="5:5" x14ac:dyDescent="0.25">
      <c r="E93" t="s">
        <v>1048</v>
      </c>
    </row>
    <row r="94" spans="5:5" x14ac:dyDescent="0.25">
      <c r="E94" t="s">
        <v>1049</v>
      </c>
    </row>
    <row r="95" spans="5:5" x14ac:dyDescent="0.25">
      <c r="E95" t="s">
        <v>1050</v>
      </c>
    </row>
  </sheetData>
  <mergeCells count="3">
    <mergeCell ref="B4:L4"/>
    <mergeCell ref="B11:L11"/>
    <mergeCell ref="B17:L17"/>
  </mergeCells>
  <hyperlinks>
    <hyperlink ref="C2" r:id="rId1" xr:uid="{708CABF1-3F97-44F7-8DDF-4E4DC2E8D348}"/>
  </hyperlinks>
  <pageMargins left="0.7" right="0.7" top="0.75" bottom="0.75" header="0.3" footer="0.3"/>
  <pageSetup paperSize="9" orientation="portrait"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2D79-9433-4592-B09D-5DF9F315F063}">
  <sheetPr>
    <tabColor rgb="FF44546A"/>
  </sheetPr>
  <dimension ref="A2:X14"/>
  <sheetViews>
    <sheetView workbookViewId="0">
      <selection activeCell="D6" sqref="D6"/>
    </sheetView>
  </sheetViews>
  <sheetFormatPr defaultRowHeight="15.75" x14ac:dyDescent="0.25"/>
  <cols>
    <col min="1" max="1" width="1.25" style="216" customWidth="1"/>
    <col min="5" max="5" width="25.75" customWidth="1"/>
    <col min="6" max="7" width="26.375" customWidth="1"/>
    <col min="17" max="17" width="1.25" style="216" customWidth="1"/>
    <col min="24" max="24" width="1.25" style="216" customWidth="1"/>
  </cols>
  <sheetData>
    <row r="2" spans="2:23" x14ac:dyDescent="0.25">
      <c r="B2" s="237" t="s">
        <v>507</v>
      </c>
      <c r="C2" s="167" t="s">
        <v>236</v>
      </c>
      <c r="R2" s="237" t="s">
        <v>507</v>
      </c>
      <c r="S2" s="167" t="s">
        <v>932</v>
      </c>
    </row>
    <row r="3" spans="2:23" x14ac:dyDescent="0.25">
      <c r="C3" t="s">
        <v>1051</v>
      </c>
      <c r="S3" t="s">
        <v>1052</v>
      </c>
    </row>
    <row r="4" spans="2:23" ht="21" x14ac:dyDescent="0.25">
      <c r="B4" s="402" t="s">
        <v>1053</v>
      </c>
      <c r="C4" s="402"/>
      <c r="D4" s="402"/>
      <c r="I4" s="402" t="s">
        <v>1054</v>
      </c>
      <c r="J4" s="402"/>
      <c r="K4" s="402"/>
      <c r="R4" s="402" t="s">
        <v>1053</v>
      </c>
      <c r="S4" s="402"/>
      <c r="T4" s="402"/>
    </row>
    <row r="5" spans="2:23" ht="30.75" customHeight="1" x14ac:dyDescent="0.25">
      <c r="C5" s="256" t="s">
        <v>1000</v>
      </c>
      <c r="D5" s="256" t="s">
        <v>552</v>
      </c>
      <c r="F5" s="361" t="s">
        <v>1055</v>
      </c>
      <c r="G5" s="361" t="s">
        <v>1056</v>
      </c>
      <c r="K5" s="256" t="s">
        <v>1003</v>
      </c>
      <c r="R5" s="404" t="s">
        <v>1057</v>
      </c>
      <c r="S5" s="404"/>
      <c r="T5" s="404"/>
      <c r="U5" s="404"/>
      <c r="V5" s="404"/>
      <c r="W5" s="404"/>
    </row>
    <row r="6" spans="2:23" x14ac:dyDescent="0.25">
      <c r="B6" s="14">
        <v>2007</v>
      </c>
      <c r="C6">
        <v>1.53</v>
      </c>
      <c r="D6" s="29">
        <f>C6*Parameters!$C$7*Parameters!$C$12/'Deng data'!$I$11</f>
        <v>16.590361445783135</v>
      </c>
      <c r="E6" t="s">
        <v>1058</v>
      </c>
      <c r="F6" s="29">
        <f>C6*Parameters!$C$8</f>
        <v>0.72675000000000001</v>
      </c>
      <c r="G6" s="29">
        <f>F6/'Scopes ratios details'!$F$61</f>
        <v>1.0849024894127</v>
      </c>
      <c r="I6" s="14">
        <v>2008</v>
      </c>
      <c r="J6" t="s">
        <v>1059</v>
      </c>
      <c r="K6">
        <v>20</v>
      </c>
      <c r="R6" s="404"/>
      <c r="S6" s="404"/>
      <c r="T6" s="404"/>
      <c r="U6" s="404"/>
      <c r="V6" s="404"/>
      <c r="W6" s="404"/>
    </row>
    <row r="7" spans="2:23" x14ac:dyDescent="0.25">
      <c r="B7" s="14">
        <v>2007</v>
      </c>
      <c r="C7">
        <v>1.84</v>
      </c>
      <c r="D7" s="29">
        <f>C7*Parameters!$C$7*Parameters!$C$12/'Deng data'!$I$11</f>
        <v>19.951807228915666</v>
      </c>
      <c r="F7" s="29">
        <f>C7*Parameters!$C$8</f>
        <v>0.874</v>
      </c>
      <c r="G7" s="29">
        <f>F7/'Scopes ratios details'!$F$61</f>
        <v>1.3047193336727894</v>
      </c>
      <c r="I7" s="14">
        <v>2008</v>
      </c>
      <c r="J7" t="s">
        <v>1060</v>
      </c>
      <c r="K7">
        <v>40</v>
      </c>
      <c r="R7" s="404"/>
      <c r="S7" s="404"/>
      <c r="T7" s="404"/>
      <c r="U7" s="404"/>
      <c r="V7" s="404"/>
      <c r="W7" s="404"/>
    </row>
    <row r="8" spans="2:23" x14ac:dyDescent="0.25">
      <c r="B8" s="14">
        <v>2007</v>
      </c>
      <c r="C8">
        <v>2.02</v>
      </c>
      <c r="D8" s="29">
        <f>C8*Parameters!$C$7*Parameters!$C$12/'Deng data'!$I$11</f>
        <v>21.903614457831328</v>
      </c>
      <c r="F8" s="29">
        <f>C8*Parameters!$C$8</f>
        <v>0.95949999999999991</v>
      </c>
      <c r="G8" s="29">
        <f>F8/'Scopes ratios details'!$F$61</f>
        <v>1.4323549206625186</v>
      </c>
      <c r="I8" s="14">
        <v>2004</v>
      </c>
      <c r="J8" t="s">
        <v>1061</v>
      </c>
      <c r="K8">
        <v>20</v>
      </c>
    </row>
    <row r="9" spans="2:23" x14ac:dyDescent="0.25">
      <c r="B9" s="14">
        <v>2007</v>
      </c>
      <c r="C9">
        <v>2.12</v>
      </c>
      <c r="D9" s="29">
        <f>C9*Parameters!$C$7*Parameters!$C$12/'Deng data'!$I$11</f>
        <v>22.987951807228917</v>
      </c>
      <c r="F9" s="29">
        <f>C9*Parameters!$C$8</f>
        <v>1.0069999999999999</v>
      </c>
      <c r="G9" s="29">
        <f>F9/'Scopes ratios details'!$F$61</f>
        <v>1.503263580101257</v>
      </c>
      <c r="I9" s="14">
        <v>1993</v>
      </c>
      <c r="J9" t="s">
        <v>1062</v>
      </c>
      <c r="K9">
        <v>21</v>
      </c>
    </row>
    <row r="10" spans="2:23" x14ac:dyDescent="0.25">
      <c r="B10" s="14">
        <v>2006</v>
      </c>
      <c r="C10">
        <v>2.04</v>
      </c>
      <c r="D10" s="29">
        <f>C10*Parameters!$C$7*Parameters!$C$12/'Deng data'!$I$11</f>
        <v>22.120481927710845</v>
      </c>
      <c r="F10" s="29">
        <f>C10*Parameters!$C$8</f>
        <v>0.96899999999999997</v>
      </c>
      <c r="G10" s="29">
        <f>F10/'Scopes ratios details'!$F$61</f>
        <v>1.4465366525502665</v>
      </c>
      <c r="I10" s="14">
        <v>1993</v>
      </c>
      <c r="J10" t="s">
        <v>1062</v>
      </c>
      <c r="K10">
        <v>60</v>
      </c>
      <c r="L10" s="230" t="s">
        <v>1063</v>
      </c>
    </row>
    <row r="11" spans="2:23" x14ac:dyDescent="0.25">
      <c r="B11" s="14">
        <v>2006</v>
      </c>
      <c r="C11">
        <v>2.77</v>
      </c>
      <c r="D11" s="29">
        <f>C11*Parameters!$C$7*Parameters!$C$12/'Deng data'!$I$11</f>
        <v>30.036144578313255</v>
      </c>
      <c r="F11" s="29">
        <f>C11*Parameters!$C$8</f>
        <v>1.31575</v>
      </c>
      <c r="G11" s="29">
        <f>F11/'Scopes ratios details'!$F$61</f>
        <v>1.9641698664530578</v>
      </c>
    </row>
    <row r="12" spans="2:23" x14ac:dyDescent="0.25">
      <c r="B12" s="14">
        <v>2006</v>
      </c>
      <c r="C12">
        <v>2.7</v>
      </c>
      <c r="D12" s="29">
        <f>C12*Parameters!$C$7*Parameters!$C$12/'Deng data'!$I$11</f>
        <v>29.277108433734941</v>
      </c>
      <c r="F12" s="29">
        <f>C12*Parameters!$C$8</f>
        <v>1.2825</v>
      </c>
      <c r="G12" s="29">
        <f>F12/'Scopes ratios details'!$F$61</f>
        <v>1.9145338048459408</v>
      </c>
    </row>
    <row r="14" spans="2:23" x14ac:dyDescent="0.25">
      <c r="B14" t="s">
        <v>1064</v>
      </c>
    </row>
  </sheetData>
  <mergeCells count="4">
    <mergeCell ref="B4:D4"/>
    <mergeCell ref="R4:T4"/>
    <mergeCell ref="I4:K4"/>
    <mergeCell ref="R5:W7"/>
  </mergeCells>
  <hyperlinks>
    <hyperlink ref="C2" r:id="rId1" xr:uid="{2094ED35-77CE-4171-B03F-4757B8CC7CD5}"/>
    <hyperlink ref="S2" r:id="rId2" xr:uid="{F539F8D9-848E-41A3-9BE2-9A624C5EB862}"/>
  </hyperlinks>
  <pageMargins left="0.7" right="0.7" top="0.75" bottom="0.75" header="0.3" footer="0.3"/>
  <pageSetup paperSize="9" orientation="portrait" r:id="rId3"/>
  <drawing r:id="rId4"/>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F59F47-E331-41C4-84DA-BC8062E640C7}">
  <sheetPr>
    <tabColor rgb="FF44546A"/>
  </sheetPr>
  <dimension ref="A2:Y35"/>
  <sheetViews>
    <sheetView topLeftCell="E8" workbookViewId="0">
      <selection activeCell="M24" sqref="M24"/>
    </sheetView>
  </sheetViews>
  <sheetFormatPr defaultRowHeight="15.75" x14ac:dyDescent="0.25"/>
  <cols>
    <col min="1" max="1" width="1.25" style="216" customWidth="1"/>
    <col min="2" max="2" width="32.875" customWidth="1"/>
    <col min="3" max="5" width="15.625" customWidth="1"/>
    <col min="6" max="6" width="18" customWidth="1"/>
    <col min="8" max="8" width="1.25" style="216" customWidth="1"/>
    <col min="9" max="9" width="29.125" customWidth="1"/>
    <col min="10" max="13" width="15" customWidth="1"/>
    <col min="15" max="15" width="1.25" style="216" customWidth="1"/>
    <col min="16" max="16" width="28.75" customWidth="1"/>
    <col min="17" max="21" width="18.25" customWidth="1"/>
    <col min="24" max="24" width="1.25" style="216" customWidth="1"/>
  </cols>
  <sheetData>
    <row r="2" spans="2:22" x14ac:dyDescent="0.25">
      <c r="B2" s="237" t="s">
        <v>507</v>
      </c>
      <c r="C2" s="167" t="s">
        <v>129</v>
      </c>
      <c r="I2" s="237" t="s">
        <v>507</v>
      </c>
      <c r="J2" s="167" t="s">
        <v>129</v>
      </c>
      <c r="P2" s="237" t="s">
        <v>507</v>
      </c>
      <c r="Q2" s="167" t="s">
        <v>365</v>
      </c>
    </row>
    <row r="3" spans="2:22" x14ac:dyDescent="0.25">
      <c r="C3" t="s">
        <v>1065</v>
      </c>
      <c r="J3" t="s">
        <v>1066</v>
      </c>
      <c r="Q3" t="s">
        <v>1067</v>
      </c>
    </row>
    <row r="4" spans="2:22" ht="59.25" customHeight="1" x14ac:dyDescent="0.25">
      <c r="B4" s="402" t="s">
        <v>989</v>
      </c>
      <c r="C4" s="402"/>
      <c r="D4" s="402"/>
      <c r="E4" s="402"/>
      <c r="F4" s="402"/>
      <c r="I4" s="405" t="s">
        <v>1068</v>
      </c>
      <c r="J4" s="405"/>
      <c r="K4" s="405"/>
      <c r="L4" s="405"/>
      <c r="M4" s="405"/>
      <c r="P4" s="405" t="s">
        <v>555</v>
      </c>
      <c r="Q4" s="405"/>
      <c r="R4" s="405"/>
      <c r="S4" s="405"/>
      <c r="T4" s="405"/>
      <c r="U4" s="405"/>
      <c r="V4" s="405"/>
    </row>
    <row r="5" spans="2:22" x14ac:dyDescent="0.25">
      <c r="C5" s="15" t="s">
        <v>1069</v>
      </c>
      <c r="D5" s="15" t="s">
        <v>1070</v>
      </c>
      <c r="E5" s="15" t="s">
        <v>1071</v>
      </c>
      <c r="J5" s="15" t="s">
        <v>1069</v>
      </c>
      <c r="K5" s="15" t="s">
        <v>1070</v>
      </c>
      <c r="L5" s="15" t="s">
        <v>1071</v>
      </c>
      <c r="Q5" s="15" t="s">
        <v>1072</v>
      </c>
      <c r="R5" s="15" t="s">
        <v>1073</v>
      </c>
      <c r="S5" s="15" t="s">
        <v>1074</v>
      </c>
      <c r="T5" s="15" t="s">
        <v>1075</v>
      </c>
      <c r="U5" s="15" t="s">
        <v>1076</v>
      </c>
    </row>
    <row r="6" spans="2:22" x14ac:dyDescent="0.25">
      <c r="B6" s="14" t="s">
        <v>991</v>
      </c>
      <c r="C6">
        <v>130</v>
      </c>
      <c r="D6">
        <v>65</v>
      </c>
      <c r="E6">
        <v>65</v>
      </c>
      <c r="F6" s="15" t="s">
        <v>994</v>
      </c>
      <c r="I6" s="14" t="s">
        <v>991</v>
      </c>
      <c r="J6">
        <v>130</v>
      </c>
      <c r="K6">
        <v>65</v>
      </c>
      <c r="L6">
        <v>65</v>
      </c>
      <c r="M6" s="15" t="s">
        <v>994</v>
      </c>
      <c r="P6" s="14" t="s">
        <v>991</v>
      </c>
      <c r="Q6" s="15">
        <v>32</v>
      </c>
      <c r="R6" s="15">
        <v>32</v>
      </c>
      <c r="S6" s="15">
        <v>45</v>
      </c>
      <c r="T6" s="15">
        <v>45</v>
      </c>
      <c r="U6" s="15">
        <v>130</v>
      </c>
      <c r="V6" t="s">
        <v>994</v>
      </c>
    </row>
    <row r="7" spans="2:22" ht="31.5" x14ac:dyDescent="0.25">
      <c r="B7" s="92" t="s">
        <v>1077</v>
      </c>
      <c r="C7" s="78">
        <f>83/1000</f>
        <v>8.3000000000000004E-2</v>
      </c>
      <c r="D7" s="78">
        <f>47/1000</f>
        <v>4.7E-2</v>
      </c>
      <c r="E7" s="78">
        <f>14/1000</f>
        <v>1.4E-2</v>
      </c>
      <c r="F7" s="154" t="s">
        <v>534</v>
      </c>
      <c r="I7" s="92" t="s">
        <v>1077</v>
      </c>
      <c r="J7" s="78">
        <f>55/1000</f>
        <v>5.5E-2</v>
      </c>
      <c r="K7" s="78">
        <f>60/1000</f>
        <v>0.06</v>
      </c>
      <c r="L7" s="78">
        <f>11/1000</f>
        <v>1.0999999999999999E-2</v>
      </c>
      <c r="M7" s="154" t="s">
        <v>534</v>
      </c>
      <c r="P7" t="s">
        <v>519</v>
      </c>
      <c r="Q7" s="219" t="s">
        <v>521</v>
      </c>
      <c r="R7" s="219" t="s">
        <v>521</v>
      </c>
      <c r="S7" s="219" t="s">
        <v>521</v>
      </c>
      <c r="T7" s="219" t="s">
        <v>521</v>
      </c>
      <c r="U7" s="219" t="s">
        <v>1078</v>
      </c>
    </row>
    <row r="8" spans="2:22" ht="31.5" x14ac:dyDescent="0.25">
      <c r="B8" s="92" t="s">
        <v>1079</v>
      </c>
      <c r="C8" s="78">
        <v>4.4000000000000004</v>
      </c>
      <c r="D8" s="78">
        <v>4.26</v>
      </c>
      <c r="E8" s="78">
        <v>0.66</v>
      </c>
      <c r="F8" s="154" t="s">
        <v>1080</v>
      </c>
      <c r="I8" s="226" t="s">
        <v>1081</v>
      </c>
      <c r="J8">
        <f>0.87</f>
        <v>0.87</v>
      </c>
      <c r="K8">
        <f>1.06</f>
        <v>1.06</v>
      </c>
      <c r="L8">
        <f>0.195</f>
        <v>0.19500000000000001</v>
      </c>
      <c r="M8" t="s">
        <v>536</v>
      </c>
      <c r="P8" s="92" t="s">
        <v>1077</v>
      </c>
      <c r="Q8" s="29">
        <f>2*43.215</f>
        <v>86.43</v>
      </c>
      <c r="R8" s="29">
        <f>7.333</f>
        <v>7.3330000000000002</v>
      </c>
      <c r="S8" s="29">
        <f>5.037</f>
        <v>5.0369999999999999</v>
      </c>
      <c r="T8" s="29">
        <f>6.456</f>
        <v>6.4560000000000004</v>
      </c>
      <c r="U8" s="29">
        <f>0.18</f>
        <v>0.18</v>
      </c>
      <c r="V8" t="s">
        <v>1082</v>
      </c>
    </row>
    <row r="9" spans="2:22" x14ac:dyDescent="0.25">
      <c r="B9" s="245" t="s">
        <v>1083</v>
      </c>
      <c r="C9" s="246">
        <f>C7/(C8/100)</f>
        <v>1.8863636363636362</v>
      </c>
      <c r="D9" s="246">
        <f t="shared" ref="D9:E9" si="0">D7/(D8/100)</f>
        <v>1.1032863849765258</v>
      </c>
      <c r="E9" s="246">
        <f t="shared" si="0"/>
        <v>2.1212121212121211</v>
      </c>
      <c r="F9" s="247" t="s">
        <v>550</v>
      </c>
      <c r="I9" s="92" t="s">
        <v>1079</v>
      </c>
      <c r="J9" s="78">
        <v>4.4000000000000004</v>
      </c>
      <c r="K9" s="78">
        <v>4.26</v>
      </c>
      <c r="L9" s="78">
        <v>0.66</v>
      </c>
      <c r="M9" s="154" t="s">
        <v>1080</v>
      </c>
      <c r="P9" t="s">
        <v>1084</v>
      </c>
      <c r="Q9">
        <v>2</v>
      </c>
      <c r="R9">
        <v>3</v>
      </c>
      <c r="S9">
        <v>4</v>
      </c>
      <c r="T9">
        <v>2</v>
      </c>
      <c r="U9">
        <v>7</v>
      </c>
      <c r="V9" t="s">
        <v>1085</v>
      </c>
    </row>
    <row r="10" spans="2:22" x14ac:dyDescent="0.25">
      <c r="I10" s="245" t="s">
        <v>1083</v>
      </c>
      <c r="J10" s="246">
        <f>J7/(J9/100)</f>
        <v>1.2499999999999998</v>
      </c>
      <c r="K10" s="246">
        <f t="shared" ref="K10:L10" si="1">K7/(K9/100)</f>
        <v>1.408450704225352</v>
      </c>
      <c r="L10" s="246">
        <f t="shared" si="1"/>
        <v>1.6666666666666665</v>
      </c>
      <c r="M10" s="247" t="s">
        <v>550</v>
      </c>
      <c r="P10" s="92" t="s">
        <v>1079</v>
      </c>
      <c r="Q10">
        <v>2.4</v>
      </c>
      <c r="R10">
        <v>0.8</v>
      </c>
      <c r="S10">
        <v>0.7</v>
      </c>
      <c r="T10">
        <v>0.5</v>
      </c>
      <c r="U10">
        <v>0.1</v>
      </c>
      <c r="V10" t="s">
        <v>540</v>
      </c>
    </row>
    <row r="11" spans="2:22" x14ac:dyDescent="0.25">
      <c r="I11" s="245" t="s">
        <v>1086</v>
      </c>
      <c r="J11" s="246">
        <f>J8/(J9/100)</f>
        <v>19.77272727272727</v>
      </c>
      <c r="K11" s="246">
        <f t="shared" ref="K11:L11" si="2">K8/(K9/100)</f>
        <v>24.882629107981224</v>
      </c>
      <c r="L11" s="246">
        <f t="shared" si="2"/>
        <v>29.545454545454547</v>
      </c>
      <c r="M11" s="247" t="s">
        <v>552</v>
      </c>
      <c r="P11" s="245" t="s">
        <v>1086</v>
      </c>
      <c r="Q11" s="246">
        <f>Q8*Q9/Q10</f>
        <v>72.025000000000006</v>
      </c>
      <c r="R11" s="246">
        <f t="shared" ref="R11:U11" si="3">R8*R9/R10</f>
        <v>27.498750000000001</v>
      </c>
      <c r="S11" s="246">
        <f t="shared" si="3"/>
        <v>28.782857142857143</v>
      </c>
      <c r="T11" s="246">
        <f t="shared" si="3"/>
        <v>25.824000000000002</v>
      </c>
      <c r="U11" s="246">
        <f t="shared" si="3"/>
        <v>12.6</v>
      </c>
      <c r="V11" s="246" t="s">
        <v>552</v>
      </c>
    </row>
    <row r="18" spans="21:25" x14ac:dyDescent="0.25">
      <c r="X18" s="287"/>
      <c r="Y18" s="233"/>
    </row>
    <row r="19" spans="21:25" x14ac:dyDescent="0.25">
      <c r="X19" s="287"/>
      <c r="Y19" s="233"/>
    </row>
    <row r="20" spans="21:25" x14ac:dyDescent="0.25">
      <c r="X20" s="287"/>
      <c r="Y20" s="233"/>
    </row>
    <row r="21" spans="21:25" x14ac:dyDescent="0.25">
      <c r="X21" s="287"/>
      <c r="Y21" s="233"/>
    </row>
    <row r="22" spans="21:25" x14ac:dyDescent="0.25">
      <c r="U22" s="233" t="s">
        <v>1087</v>
      </c>
      <c r="W22" s="233"/>
      <c r="X22" s="287"/>
      <c r="Y22" s="233"/>
    </row>
    <row r="23" spans="21:25" x14ac:dyDescent="0.25">
      <c r="U23" s="233" t="s">
        <v>1088</v>
      </c>
      <c r="W23" s="233"/>
    </row>
    <row r="24" spans="21:25" x14ac:dyDescent="0.25">
      <c r="U24" s="233" t="s">
        <v>1089</v>
      </c>
      <c r="W24" s="233"/>
    </row>
    <row r="25" spans="21:25" x14ac:dyDescent="0.25">
      <c r="U25" s="233" t="s">
        <v>1090</v>
      </c>
      <c r="W25" s="233"/>
    </row>
    <row r="26" spans="21:25" x14ac:dyDescent="0.25">
      <c r="U26" s="233" t="s">
        <v>1091</v>
      </c>
      <c r="W26" s="233"/>
    </row>
    <row r="34" spans="9:16" x14ac:dyDescent="0.25">
      <c r="I34" s="233" t="s">
        <v>1092</v>
      </c>
    </row>
    <row r="35" spans="9:16" x14ac:dyDescent="0.25">
      <c r="P35" s="233" t="s">
        <v>1092</v>
      </c>
    </row>
  </sheetData>
  <mergeCells count="3">
    <mergeCell ref="B4:F4"/>
    <mergeCell ref="I4:M4"/>
    <mergeCell ref="P4:V4"/>
  </mergeCells>
  <hyperlinks>
    <hyperlink ref="C2" r:id="rId1" xr:uid="{DBBC3BF3-F8FB-4D81-8F7E-3FF2E99EE0DA}"/>
    <hyperlink ref="J2" r:id="rId2" xr:uid="{8D415D16-9ACD-4086-892B-D4F6E6F45BE1}"/>
    <hyperlink ref="Q2" r:id="rId3" xr:uid="{17D9D51D-BC9C-4003-BEC4-AF3B5B19B98B}"/>
  </hyperlinks>
  <pageMargins left="0.7" right="0.7" top="0.75" bottom="0.75" header="0.3" footer="0.3"/>
  <pageSetup paperSize="9" orientation="portrait" r:id="rId4"/>
  <drawing r:id="rId5"/>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B7148C-38A1-401E-9553-D4A37518AA34}">
  <sheetPr>
    <tabColor rgb="FF44546A"/>
  </sheetPr>
  <dimension ref="A2:N96"/>
  <sheetViews>
    <sheetView topLeftCell="A50" workbookViewId="0">
      <selection activeCell="I67" sqref="I67"/>
    </sheetView>
  </sheetViews>
  <sheetFormatPr defaultColWidth="11" defaultRowHeight="15.75" x14ac:dyDescent="0.25"/>
  <cols>
    <col min="1" max="1" width="1.25" style="216" customWidth="1"/>
    <col min="2" max="2" width="34.125" customWidth="1"/>
    <col min="3" max="8" width="11.5" bestFit="1" customWidth="1"/>
    <col min="9" max="10" width="12.5" bestFit="1" customWidth="1"/>
    <col min="11" max="11" width="14.25" customWidth="1"/>
    <col min="12" max="12" width="43.75" customWidth="1"/>
    <col min="14" max="14" width="1.25" style="216" customWidth="1"/>
  </cols>
  <sheetData>
    <row r="2" spans="2:12" x14ac:dyDescent="0.25">
      <c r="B2" s="237" t="s">
        <v>507</v>
      </c>
      <c r="C2" s="167" t="s">
        <v>1093</v>
      </c>
    </row>
    <row r="3" spans="2:12" x14ac:dyDescent="0.25">
      <c r="C3" t="s">
        <v>1094</v>
      </c>
    </row>
    <row r="4" spans="2:12" ht="18.75" customHeight="1" x14ac:dyDescent="0.25">
      <c r="B4" s="406" t="s">
        <v>1095</v>
      </c>
      <c r="C4" s="407"/>
      <c r="D4" s="407"/>
      <c r="E4" s="407"/>
      <c r="F4" s="407"/>
      <c r="G4" s="407"/>
      <c r="H4" s="407"/>
      <c r="I4" s="407"/>
      <c r="J4" s="407"/>
      <c r="K4" s="408"/>
      <c r="L4" t="s">
        <v>1096</v>
      </c>
    </row>
    <row r="5" spans="2:12" ht="18.75" customHeight="1" x14ac:dyDescent="0.25">
      <c r="B5" s="418"/>
      <c r="C5" s="419"/>
      <c r="D5" s="419"/>
      <c r="E5" s="419"/>
      <c r="F5" s="419"/>
      <c r="G5" s="419"/>
      <c r="H5" s="419"/>
      <c r="I5" s="419"/>
      <c r="J5" s="419"/>
      <c r="K5" s="420"/>
    </row>
    <row r="6" spans="2:12" x14ac:dyDescent="0.25">
      <c r="B6" s="56" t="s">
        <v>3</v>
      </c>
      <c r="C6" s="15">
        <v>1995</v>
      </c>
      <c r="D6" s="15">
        <v>1998</v>
      </c>
      <c r="E6" s="15">
        <v>1999</v>
      </c>
      <c r="F6" s="15">
        <v>2001</v>
      </c>
      <c r="G6" s="15">
        <v>2004</v>
      </c>
      <c r="H6" s="15">
        <v>2007</v>
      </c>
      <c r="I6" s="15">
        <v>2010</v>
      </c>
      <c r="J6" s="15">
        <v>2013</v>
      </c>
      <c r="K6" s="63"/>
    </row>
    <row r="7" spans="2:12" x14ac:dyDescent="0.25">
      <c r="B7" s="56" t="s">
        <v>1097</v>
      </c>
      <c r="C7">
        <v>350</v>
      </c>
      <c r="D7">
        <v>250</v>
      </c>
      <c r="E7">
        <v>180</v>
      </c>
      <c r="F7">
        <v>130</v>
      </c>
      <c r="G7">
        <v>90</v>
      </c>
      <c r="H7">
        <v>65</v>
      </c>
      <c r="I7">
        <v>45</v>
      </c>
      <c r="J7">
        <v>32</v>
      </c>
      <c r="K7" s="63" t="s">
        <v>994</v>
      </c>
    </row>
    <row r="8" spans="2:12" x14ac:dyDescent="0.25">
      <c r="B8" s="56" t="s">
        <v>1098</v>
      </c>
      <c r="C8">
        <v>88</v>
      </c>
      <c r="D8">
        <v>151</v>
      </c>
      <c r="E8">
        <v>187</v>
      </c>
      <c r="F8">
        <v>322</v>
      </c>
      <c r="G8">
        <v>322</v>
      </c>
      <c r="H8">
        <v>347</v>
      </c>
      <c r="I8">
        <v>347</v>
      </c>
      <c r="J8">
        <v>347</v>
      </c>
      <c r="K8" s="63"/>
    </row>
    <row r="9" spans="2:12" x14ac:dyDescent="0.25">
      <c r="B9" s="56" t="s">
        <v>1099</v>
      </c>
      <c r="C9">
        <v>1.96</v>
      </c>
      <c r="D9">
        <v>1.5</v>
      </c>
      <c r="E9">
        <v>1.25</v>
      </c>
      <c r="F9">
        <v>1.4</v>
      </c>
      <c r="G9">
        <v>1.4</v>
      </c>
      <c r="H9">
        <v>1.4</v>
      </c>
      <c r="I9">
        <v>1.4</v>
      </c>
      <c r="J9">
        <v>1.4</v>
      </c>
      <c r="K9" s="63" t="s">
        <v>1100</v>
      </c>
    </row>
    <row r="10" spans="2:12" x14ac:dyDescent="0.25">
      <c r="B10" s="58" t="s">
        <v>1101</v>
      </c>
      <c r="C10" s="314">
        <v>1.96</v>
      </c>
      <c r="D10" s="314">
        <v>1.5</v>
      </c>
      <c r="E10" s="314">
        <v>1.25</v>
      </c>
      <c r="F10" s="314">
        <v>1.4</v>
      </c>
      <c r="G10" s="314">
        <v>1.4</v>
      </c>
      <c r="H10" s="314">
        <v>1.4</v>
      </c>
      <c r="I10" s="314">
        <v>1.4</v>
      </c>
      <c r="J10" s="314">
        <v>1.4</v>
      </c>
      <c r="K10" s="66" t="s">
        <v>1100</v>
      </c>
    </row>
    <row r="11" spans="2:12" ht="15.6" customHeight="1" x14ac:dyDescent="0.25">
      <c r="B11" s="15"/>
      <c r="E11" s="14"/>
    </row>
    <row r="12" spans="2:12" ht="17.25" customHeight="1" x14ac:dyDescent="0.25">
      <c r="B12" s="406" t="s">
        <v>1102</v>
      </c>
      <c r="C12" s="407"/>
      <c r="D12" s="407"/>
      <c r="E12" s="407"/>
      <c r="F12" s="407"/>
      <c r="G12" s="407"/>
      <c r="H12" s="407"/>
      <c r="I12" s="407"/>
      <c r="J12" s="407"/>
      <c r="K12" s="408"/>
      <c r="L12" t="s">
        <v>1103</v>
      </c>
    </row>
    <row r="13" spans="2:12" x14ac:dyDescent="0.25">
      <c r="B13" s="409"/>
      <c r="C13" s="410"/>
      <c r="D13" s="410"/>
      <c r="E13" s="410"/>
      <c r="F13" s="410"/>
      <c r="G13" s="410"/>
      <c r="H13" s="410"/>
      <c r="I13" s="410"/>
      <c r="J13" s="410"/>
      <c r="K13" s="411"/>
    </row>
    <row r="14" spans="2:12" x14ac:dyDescent="0.25">
      <c r="B14" s="60" t="s">
        <v>1097</v>
      </c>
      <c r="C14" s="61">
        <v>350</v>
      </c>
      <c r="D14" s="61">
        <v>250</v>
      </c>
      <c r="E14" s="61">
        <v>180</v>
      </c>
      <c r="F14" s="61">
        <v>130</v>
      </c>
      <c r="G14" s="61">
        <v>90</v>
      </c>
      <c r="H14" s="61">
        <v>65</v>
      </c>
      <c r="I14" s="61">
        <v>45</v>
      </c>
      <c r="J14" s="61">
        <v>32</v>
      </c>
      <c r="K14" s="64" t="s">
        <v>994</v>
      </c>
    </row>
    <row r="15" spans="2:12" x14ac:dyDescent="0.25">
      <c r="B15" s="56" t="s">
        <v>1104</v>
      </c>
      <c r="C15">
        <v>68</v>
      </c>
      <c r="D15">
        <v>8</v>
      </c>
      <c r="E15">
        <v>32</v>
      </c>
      <c r="F15">
        <v>36</v>
      </c>
      <c r="G15">
        <v>34</v>
      </c>
      <c r="H15">
        <v>24</v>
      </c>
      <c r="I15">
        <v>10</v>
      </c>
      <c r="J15">
        <v>11</v>
      </c>
      <c r="K15" s="65" t="s">
        <v>1105</v>
      </c>
    </row>
    <row r="16" spans="2:12" x14ac:dyDescent="0.25">
      <c r="B16" s="57" t="s">
        <v>1106</v>
      </c>
      <c r="C16" s="28">
        <v>549</v>
      </c>
      <c r="D16" s="28">
        <v>275</v>
      </c>
      <c r="E16" s="28">
        <v>219</v>
      </c>
      <c r="F16" s="28">
        <v>203</v>
      </c>
      <c r="G16" s="28">
        <v>199</v>
      </c>
      <c r="H16" s="28">
        <v>218</v>
      </c>
      <c r="I16" s="28">
        <v>238</v>
      </c>
      <c r="J16" s="28">
        <v>255</v>
      </c>
      <c r="K16" s="65" t="s">
        <v>1105</v>
      </c>
    </row>
    <row r="17" spans="2:12" x14ac:dyDescent="0.25">
      <c r="B17" s="56" t="s">
        <v>1107</v>
      </c>
      <c r="C17">
        <v>140</v>
      </c>
      <c r="D17">
        <v>81</v>
      </c>
      <c r="E17">
        <v>66</v>
      </c>
      <c r="F17">
        <v>57</v>
      </c>
      <c r="G17">
        <v>57</v>
      </c>
      <c r="H17">
        <v>53</v>
      </c>
      <c r="I17">
        <v>53</v>
      </c>
      <c r="J17">
        <v>53</v>
      </c>
      <c r="K17" s="65" t="s">
        <v>1105</v>
      </c>
    </row>
    <row r="18" spans="2:12" x14ac:dyDescent="0.25">
      <c r="B18" s="56" t="s">
        <v>1108</v>
      </c>
      <c r="C18" s="27">
        <v>1.1000000000000001</v>
      </c>
      <c r="D18" s="27">
        <v>0.9</v>
      </c>
      <c r="E18" s="27">
        <v>0.8</v>
      </c>
      <c r="F18" s="27">
        <v>0.5</v>
      </c>
      <c r="G18" s="27">
        <v>1</v>
      </c>
      <c r="H18" s="27">
        <v>1.3</v>
      </c>
      <c r="I18" s="27">
        <v>1.9</v>
      </c>
      <c r="J18" s="27">
        <v>2</v>
      </c>
      <c r="K18" s="65" t="s">
        <v>1105</v>
      </c>
    </row>
    <row r="19" spans="2:12" x14ac:dyDescent="0.25">
      <c r="B19" s="56" t="s">
        <v>1109</v>
      </c>
      <c r="C19" s="27">
        <v>1.5</v>
      </c>
      <c r="D19" s="27">
        <v>0.8</v>
      </c>
      <c r="E19" s="27">
        <v>0.7</v>
      </c>
      <c r="F19" s="27">
        <v>0.5</v>
      </c>
      <c r="G19" s="27">
        <v>0.5</v>
      </c>
      <c r="H19" s="27">
        <v>0.4</v>
      </c>
      <c r="I19" s="27">
        <v>0.3</v>
      </c>
      <c r="J19" s="27">
        <v>0.3</v>
      </c>
      <c r="K19" s="65" t="s">
        <v>1105</v>
      </c>
    </row>
    <row r="20" spans="2:12" x14ac:dyDescent="0.25">
      <c r="B20" s="56" t="s">
        <v>1110</v>
      </c>
      <c r="C20">
        <f>SUM(C15:C19)-C16</f>
        <v>210.60000000000002</v>
      </c>
      <c r="D20">
        <f t="shared" ref="D20:J20" si="0">SUM(D15:D19)-D16</f>
        <v>90.699999999999989</v>
      </c>
      <c r="E20">
        <f t="shared" si="0"/>
        <v>99.5</v>
      </c>
      <c r="F20">
        <f t="shared" si="0"/>
        <v>94</v>
      </c>
      <c r="G20">
        <f t="shared" si="0"/>
        <v>92.5</v>
      </c>
      <c r="H20">
        <f t="shared" si="0"/>
        <v>78.699999999999989</v>
      </c>
      <c r="I20">
        <f t="shared" si="0"/>
        <v>65.199999999999989</v>
      </c>
      <c r="J20">
        <f t="shared" si="0"/>
        <v>66.300000000000011</v>
      </c>
      <c r="K20" s="63" t="s">
        <v>1105</v>
      </c>
    </row>
    <row r="21" spans="2:12" x14ac:dyDescent="0.25">
      <c r="B21" s="58" t="s">
        <v>1110</v>
      </c>
      <c r="C21" s="59">
        <f>C20/C10</f>
        <v>107.44897959183675</v>
      </c>
      <c r="D21" s="59">
        <f t="shared" ref="D21:J21" si="1">D20/D10</f>
        <v>60.466666666666661</v>
      </c>
      <c r="E21" s="59">
        <f t="shared" si="1"/>
        <v>79.599999999999994</v>
      </c>
      <c r="F21" s="59">
        <f t="shared" si="1"/>
        <v>67.142857142857153</v>
      </c>
      <c r="G21" s="59">
        <f t="shared" si="1"/>
        <v>66.071428571428569</v>
      </c>
      <c r="H21" s="59">
        <f t="shared" si="1"/>
        <v>56.214285714285708</v>
      </c>
      <c r="I21" s="59">
        <f t="shared" si="1"/>
        <v>46.571428571428569</v>
      </c>
      <c r="J21" s="59">
        <f t="shared" si="1"/>
        <v>47.357142857142868</v>
      </c>
      <c r="K21" s="66" t="s">
        <v>1111</v>
      </c>
    </row>
    <row r="23" spans="2:12" ht="15" customHeight="1" x14ac:dyDescent="0.25">
      <c r="B23" s="412" t="s">
        <v>1112</v>
      </c>
      <c r="C23" s="413"/>
      <c r="D23" s="413"/>
      <c r="E23" s="413"/>
      <c r="F23" s="413"/>
      <c r="G23" s="413"/>
      <c r="H23" s="413"/>
      <c r="I23" s="413"/>
      <c r="J23" s="413"/>
      <c r="K23" s="414"/>
      <c r="L23" t="s">
        <v>1113</v>
      </c>
    </row>
    <row r="24" spans="2:12" x14ac:dyDescent="0.25">
      <c r="B24" s="415"/>
      <c r="C24" s="416"/>
      <c r="D24" s="416"/>
      <c r="E24" s="416"/>
      <c r="F24" s="416"/>
      <c r="G24" s="416"/>
      <c r="H24" s="416"/>
      <c r="I24" s="416"/>
      <c r="J24" s="416"/>
      <c r="K24" s="417"/>
    </row>
    <row r="25" spans="2:12" x14ac:dyDescent="0.25">
      <c r="B25" s="60" t="s">
        <v>1097</v>
      </c>
      <c r="C25" s="61">
        <v>350</v>
      </c>
      <c r="D25" s="61">
        <v>250</v>
      </c>
      <c r="E25" s="61">
        <v>180</v>
      </c>
      <c r="F25" s="61">
        <v>130</v>
      </c>
      <c r="G25" s="61">
        <v>90</v>
      </c>
      <c r="H25" s="61">
        <v>65</v>
      </c>
      <c r="I25" s="61">
        <v>45</v>
      </c>
      <c r="J25" s="61">
        <v>32</v>
      </c>
      <c r="K25" s="62" t="s">
        <v>994</v>
      </c>
    </row>
    <row r="26" spans="2:12" x14ac:dyDescent="0.25">
      <c r="B26" s="56" t="s">
        <v>1114</v>
      </c>
      <c r="C26" s="15">
        <v>86</v>
      </c>
      <c r="D26" s="15">
        <v>43</v>
      </c>
      <c r="E26" s="15">
        <v>40</v>
      </c>
      <c r="F26" s="15">
        <v>37</v>
      </c>
      <c r="G26" s="15">
        <v>36</v>
      </c>
      <c r="H26" s="15">
        <v>40</v>
      </c>
      <c r="I26" s="15">
        <v>43</v>
      </c>
      <c r="J26" s="15">
        <v>47</v>
      </c>
      <c r="K26" s="63" t="s">
        <v>1115</v>
      </c>
    </row>
    <row r="27" spans="2:12" x14ac:dyDescent="0.25">
      <c r="B27" s="56" t="s">
        <v>1116</v>
      </c>
      <c r="C27" s="15">
        <v>14</v>
      </c>
      <c r="D27" s="15">
        <v>12</v>
      </c>
      <c r="E27" s="15">
        <v>10</v>
      </c>
      <c r="F27" s="15">
        <v>7</v>
      </c>
      <c r="G27" s="15">
        <v>12</v>
      </c>
      <c r="H27" s="15">
        <v>16</v>
      </c>
      <c r="I27" s="15">
        <v>24</v>
      </c>
      <c r="J27" s="15">
        <v>25</v>
      </c>
      <c r="K27" s="63" t="s">
        <v>1115</v>
      </c>
    </row>
    <row r="28" spans="2:12" x14ac:dyDescent="0.25">
      <c r="B28" s="56" t="s">
        <v>1117</v>
      </c>
      <c r="C28" s="15">
        <v>15</v>
      </c>
      <c r="D28" s="15">
        <v>13</v>
      </c>
      <c r="E28" s="15">
        <v>10</v>
      </c>
      <c r="F28" s="15">
        <v>8.9</v>
      </c>
      <c r="G28" s="15">
        <v>8.9</v>
      </c>
      <c r="H28" s="15">
        <v>8.3000000000000007</v>
      </c>
      <c r="I28" s="15">
        <v>8.3000000000000007</v>
      </c>
      <c r="J28" s="15">
        <v>8.3000000000000007</v>
      </c>
      <c r="K28" s="63" t="s">
        <v>1115</v>
      </c>
    </row>
    <row r="29" spans="2:12" ht="15.75" hidden="1" customHeight="1" x14ac:dyDescent="0.25">
      <c r="B29" s="56" t="s">
        <v>1118</v>
      </c>
      <c r="C29" s="15">
        <v>18</v>
      </c>
      <c r="D29" s="15">
        <v>10</v>
      </c>
      <c r="E29" s="15">
        <v>9.1</v>
      </c>
      <c r="F29" s="15">
        <v>5.8</v>
      </c>
      <c r="G29" s="15">
        <v>6.2</v>
      </c>
      <c r="H29" s="15">
        <v>5.5</v>
      </c>
      <c r="I29" s="15">
        <v>5.5</v>
      </c>
      <c r="J29" s="15">
        <v>4.0999999999999996</v>
      </c>
      <c r="K29" s="63" t="s">
        <v>1115</v>
      </c>
    </row>
    <row r="30" spans="2:12" ht="15.75" hidden="1" customHeight="1" x14ac:dyDescent="0.25">
      <c r="B30" s="56" t="s">
        <v>1119</v>
      </c>
      <c r="C30">
        <f>SUM(C26:C29)</f>
        <v>133</v>
      </c>
      <c r="D30">
        <f>SUM(D26:D29)</f>
        <v>78</v>
      </c>
      <c r="E30">
        <f t="shared" ref="E30:J30" si="2">SUM(E26:E29)</f>
        <v>69.099999999999994</v>
      </c>
      <c r="F30">
        <f t="shared" si="2"/>
        <v>58.699999999999996</v>
      </c>
      <c r="G30">
        <f t="shared" si="2"/>
        <v>63.1</v>
      </c>
      <c r="H30">
        <f t="shared" si="2"/>
        <v>69.8</v>
      </c>
      <c r="I30">
        <f t="shared" si="2"/>
        <v>80.8</v>
      </c>
      <c r="J30">
        <f t="shared" si="2"/>
        <v>84.399999999999991</v>
      </c>
      <c r="K30" s="63" t="s">
        <v>1115</v>
      </c>
    </row>
    <row r="31" spans="2:12" x14ac:dyDescent="0.25">
      <c r="B31" s="56" t="s">
        <v>1120</v>
      </c>
      <c r="C31" s="15">
        <v>18</v>
      </c>
      <c r="D31" s="15">
        <v>10</v>
      </c>
      <c r="E31" s="15">
        <v>9.1</v>
      </c>
      <c r="F31" s="15">
        <v>5.8</v>
      </c>
      <c r="G31" s="15">
        <v>6.2</v>
      </c>
      <c r="H31" s="15">
        <v>5.5</v>
      </c>
      <c r="I31" s="15">
        <v>5.5</v>
      </c>
      <c r="J31" s="15">
        <v>4.0999999999999996</v>
      </c>
      <c r="K31" s="63" t="s">
        <v>1115</v>
      </c>
    </row>
    <row r="32" spans="2:12" x14ac:dyDescent="0.25">
      <c r="B32" s="56" t="s">
        <v>1110</v>
      </c>
      <c r="C32">
        <f>C26+C27+C28+C31</f>
        <v>133</v>
      </c>
      <c r="D32">
        <f t="shared" ref="D32:J32" si="3">D26+D27+D28+D31</f>
        <v>78</v>
      </c>
      <c r="E32">
        <f t="shared" si="3"/>
        <v>69.099999999999994</v>
      </c>
      <c r="F32">
        <f t="shared" si="3"/>
        <v>58.699999999999996</v>
      </c>
      <c r="G32">
        <f t="shared" si="3"/>
        <v>63.1</v>
      </c>
      <c r="H32">
        <f t="shared" si="3"/>
        <v>69.8</v>
      </c>
      <c r="I32">
        <f t="shared" si="3"/>
        <v>80.8</v>
      </c>
      <c r="J32">
        <f t="shared" si="3"/>
        <v>84.399999999999991</v>
      </c>
      <c r="K32" s="63" t="s">
        <v>1115</v>
      </c>
    </row>
    <row r="33" spans="2:12" x14ac:dyDescent="0.25">
      <c r="B33" s="315" t="s">
        <v>1110</v>
      </c>
      <c r="C33" s="59">
        <f t="shared" ref="C33:J33" si="4">C32/C10</f>
        <v>67.857142857142861</v>
      </c>
      <c r="D33" s="59">
        <f t="shared" si="4"/>
        <v>52</v>
      </c>
      <c r="E33" s="59">
        <f t="shared" si="4"/>
        <v>55.279999999999994</v>
      </c>
      <c r="F33" s="59">
        <f t="shared" si="4"/>
        <v>41.928571428571431</v>
      </c>
      <c r="G33" s="59">
        <f t="shared" si="4"/>
        <v>45.071428571428577</v>
      </c>
      <c r="H33" s="59">
        <f t="shared" si="4"/>
        <v>49.857142857142861</v>
      </c>
      <c r="I33" s="59">
        <f t="shared" si="4"/>
        <v>57.714285714285715</v>
      </c>
      <c r="J33" s="59">
        <f t="shared" si="4"/>
        <v>60.285714285714285</v>
      </c>
      <c r="K33" s="316" t="s">
        <v>552</v>
      </c>
    </row>
    <row r="34" spans="2:12" x14ac:dyDescent="0.25">
      <c r="K34" s="15"/>
    </row>
    <row r="35" spans="2:12" ht="15.6" customHeight="1" x14ac:dyDescent="0.25">
      <c r="B35" s="406" t="s">
        <v>1121</v>
      </c>
      <c r="C35" s="407"/>
      <c r="D35" s="407"/>
      <c r="E35" s="407"/>
      <c r="F35" s="407"/>
      <c r="G35" s="407"/>
      <c r="H35" s="407"/>
      <c r="I35" s="407"/>
      <c r="J35" s="407"/>
      <c r="K35" s="408"/>
      <c r="L35" t="s">
        <v>1122</v>
      </c>
    </row>
    <row r="36" spans="2:12" x14ac:dyDescent="0.25">
      <c r="B36" s="418"/>
      <c r="C36" s="419"/>
      <c r="D36" s="419"/>
      <c r="E36" s="419"/>
      <c r="F36" s="419"/>
      <c r="G36" s="419"/>
      <c r="H36" s="419"/>
      <c r="I36" s="419"/>
      <c r="J36" s="419"/>
      <c r="K36" s="420"/>
    </row>
    <row r="37" spans="2:12" x14ac:dyDescent="0.25">
      <c r="B37" s="32" t="s">
        <v>1097</v>
      </c>
      <c r="C37" s="15">
        <v>350</v>
      </c>
      <c r="D37" s="15">
        <v>250</v>
      </c>
      <c r="E37" s="15">
        <v>180</v>
      </c>
      <c r="F37" s="15">
        <v>130</v>
      </c>
      <c r="G37" s="15">
        <v>90</v>
      </c>
      <c r="H37" s="15">
        <v>65</v>
      </c>
      <c r="I37" s="15">
        <v>45</v>
      </c>
      <c r="J37" s="15">
        <v>32</v>
      </c>
      <c r="K37" s="63"/>
    </row>
    <row r="38" spans="2:12" x14ac:dyDescent="0.25">
      <c r="B38" s="70" t="s">
        <v>1123</v>
      </c>
      <c r="C38" s="10">
        <v>2.5</v>
      </c>
      <c r="D38" s="10">
        <v>1.3</v>
      </c>
      <c r="E38" s="10">
        <v>1</v>
      </c>
      <c r="F38" s="10">
        <v>0.9</v>
      </c>
      <c r="G38" s="10">
        <v>0.9</v>
      </c>
      <c r="H38" s="10">
        <v>1</v>
      </c>
      <c r="I38" s="10">
        <v>1.1000000000000001</v>
      </c>
      <c r="J38" s="10">
        <v>1.2</v>
      </c>
      <c r="K38" s="63" t="s">
        <v>1124</v>
      </c>
    </row>
    <row r="39" spans="2:12" x14ac:dyDescent="0.25">
      <c r="B39" s="32" t="s">
        <v>1116</v>
      </c>
      <c r="C39">
        <v>1.2</v>
      </c>
      <c r="D39">
        <v>1</v>
      </c>
      <c r="E39">
        <v>0.8</v>
      </c>
      <c r="F39">
        <v>0.5</v>
      </c>
      <c r="G39">
        <v>1</v>
      </c>
      <c r="H39">
        <v>0.7</v>
      </c>
      <c r="I39">
        <v>1.94</v>
      </c>
      <c r="J39">
        <v>2.08</v>
      </c>
      <c r="K39" s="63" t="s">
        <v>1124</v>
      </c>
    </row>
    <row r="40" spans="2:12" x14ac:dyDescent="0.25">
      <c r="B40" s="32" t="s">
        <v>1107</v>
      </c>
      <c r="C40">
        <v>1.2</v>
      </c>
      <c r="D40">
        <v>1</v>
      </c>
      <c r="E40">
        <v>0.8</v>
      </c>
      <c r="F40">
        <v>0.7</v>
      </c>
      <c r="G40">
        <v>0.7</v>
      </c>
      <c r="H40">
        <v>0.7</v>
      </c>
      <c r="I40">
        <v>0.7</v>
      </c>
      <c r="J40">
        <v>0.7</v>
      </c>
      <c r="K40" s="63" t="s">
        <v>1124</v>
      </c>
    </row>
    <row r="41" spans="2:12" x14ac:dyDescent="0.25">
      <c r="B41" s="32" t="s">
        <v>1120</v>
      </c>
      <c r="C41">
        <v>1.5</v>
      </c>
      <c r="D41">
        <v>0.9</v>
      </c>
      <c r="E41">
        <v>0.8</v>
      </c>
      <c r="F41">
        <v>0.5</v>
      </c>
      <c r="G41">
        <v>0.5</v>
      </c>
      <c r="H41">
        <v>0.5</v>
      </c>
      <c r="I41">
        <v>0.5</v>
      </c>
      <c r="J41">
        <v>0.5</v>
      </c>
      <c r="K41" s="63" t="s">
        <v>1124</v>
      </c>
    </row>
    <row r="42" spans="2:12" x14ac:dyDescent="0.25">
      <c r="B42" s="32" t="s">
        <v>1110</v>
      </c>
      <c r="C42">
        <f>SUM(C38:C41)</f>
        <v>6.4</v>
      </c>
      <c r="D42">
        <f t="shared" ref="D42:J42" si="5">SUM(D38:D41)</f>
        <v>4.2</v>
      </c>
      <c r="E42">
        <f t="shared" si="5"/>
        <v>3.4000000000000004</v>
      </c>
      <c r="F42">
        <f t="shared" si="5"/>
        <v>2.5999999999999996</v>
      </c>
      <c r="G42">
        <f t="shared" si="5"/>
        <v>3.0999999999999996</v>
      </c>
      <c r="H42">
        <f t="shared" si="5"/>
        <v>2.9</v>
      </c>
      <c r="I42">
        <f t="shared" si="5"/>
        <v>4.24</v>
      </c>
      <c r="J42">
        <f t="shared" si="5"/>
        <v>4.4800000000000004</v>
      </c>
      <c r="K42" s="63" t="s">
        <v>1124</v>
      </c>
    </row>
    <row r="43" spans="2:12" x14ac:dyDescent="0.25">
      <c r="B43" s="317" t="s">
        <v>1110</v>
      </c>
      <c r="C43" s="318">
        <f>C42/C10</f>
        <v>3.2653061224489797</v>
      </c>
      <c r="D43" s="318">
        <f t="shared" ref="D43:J43" si="6">D42/D10</f>
        <v>2.8000000000000003</v>
      </c>
      <c r="E43" s="318">
        <f t="shared" si="6"/>
        <v>2.72</v>
      </c>
      <c r="F43" s="318">
        <f t="shared" si="6"/>
        <v>1.857142857142857</v>
      </c>
      <c r="G43" s="318">
        <f t="shared" si="6"/>
        <v>2.214285714285714</v>
      </c>
      <c r="H43" s="318">
        <f t="shared" si="6"/>
        <v>2.0714285714285716</v>
      </c>
      <c r="I43" s="318">
        <f t="shared" si="6"/>
        <v>3.0285714285714289</v>
      </c>
      <c r="J43" s="318">
        <f t="shared" si="6"/>
        <v>3.2000000000000006</v>
      </c>
      <c r="K43" s="66" t="s">
        <v>550</v>
      </c>
    </row>
    <row r="44" spans="2:12" x14ac:dyDescent="0.25">
      <c r="B44" s="14"/>
    </row>
    <row r="45" spans="2:12" x14ac:dyDescent="0.25">
      <c r="B45" s="406" t="s">
        <v>1125</v>
      </c>
      <c r="C45" s="407"/>
      <c r="D45" s="407"/>
      <c r="E45" s="407"/>
      <c r="F45" s="407"/>
      <c r="G45" s="407"/>
      <c r="H45" s="407"/>
      <c r="I45" s="408"/>
      <c r="J45" t="s">
        <v>1126</v>
      </c>
      <c r="L45" s="11"/>
    </row>
    <row r="46" spans="2:12" x14ac:dyDescent="0.25">
      <c r="B46" s="409"/>
      <c r="C46" s="410"/>
      <c r="D46" s="410"/>
      <c r="E46" s="410"/>
      <c r="F46" s="410"/>
      <c r="G46" s="410"/>
      <c r="H46" s="410"/>
      <c r="I46" s="411"/>
    </row>
    <row r="47" spans="2:12" x14ac:dyDescent="0.25">
      <c r="B47" s="56" t="s">
        <v>1097</v>
      </c>
      <c r="C47" s="15">
        <v>250</v>
      </c>
      <c r="D47" s="15">
        <v>180</v>
      </c>
      <c r="E47" s="15">
        <v>130</v>
      </c>
      <c r="F47" s="15">
        <v>90</v>
      </c>
      <c r="G47" s="15">
        <v>70</v>
      </c>
      <c r="H47" s="15">
        <v>57</v>
      </c>
      <c r="I47" s="67" t="s">
        <v>994</v>
      </c>
    </row>
    <row r="48" spans="2:12" x14ac:dyDescent="0.25">
      <c r="B48" s="56" t="s">
        <v>1099</v>
      </c>
      <c r="C48">
        <v>1.28</v>
      </c>
      <c r="D48">
        <v>1.76</v>
      </c>
      <c r="E48">
        <v>1.27</v>
      </c>
      <c r="F48">
        <v>0.93</v>
      </c>
      <c r="G48">
        <v>1.1000000000000001</v>
      </c>
      <c r="H48">
        <v>0.74</v>
      </c>
      <c r="I48" s="67" t="s">
        <v>540</v>
      </c>
    </row>
    <row r="49" spans="1:14" x14ac:dyDescent="0.25">
      <c r="B49" s="56" t="s">
        <v>1127</v>
      </c>
      <c r="C49" s="22">
        <v>0.128</v>
      </c>
      <c r="D49" s="22">
        <v>0.25600000000000001</v>
      </c>
      <c r="E49" s="22">
        <v>0.51200000000000001</v>
      </c>
      <c r="F49" s="22">
        <v>1</v>
      </c>
      <c r="G49" s="22">
        <v>2</v>
      </c>
      <c r="H49">
        <v>2</v>
      </c>
      <c r="I49" s="63" t="s">
        <v>1128</v>
      </c>
    </row>
    <row r="50" spans="1:14" ht="67.5" customHeight="1" x14ac:dyDescent="0.25">
      <c r="B50" s="68" t="s">
        <v>1129</v>
      </c>
      <c r="C50">
        <v>3</v>
      </c>
      <c r="D50">
        <v>10</v>
      </c>
      <c r="E50">
        <v>7.5</v>
      </c>
      <c r="F50">
        <v>6</v>
      </c>
      <c r="G50">
        <v>4</v>
      </c>
      <c r="H50">
        <v>12</v>
      </c>
      <c r="I50" s="63" t="s">
        <v>1130</v>
      </c>
      <c r="L50" s="197" t="s">
        <v>1131</v>
      </c>
    </row>
    <row r="51" spans="1:14" x14ac:dyDescent="0.25">
      <c r="B51" s="69" t="s">
        <v>1132</v>
      </c>
      <c r="C51">
        <v>0.9</v>
      </c>
      <c r="D51">
        <v>2</v>
      </c>
      <c r="E51">
        <v>3</v>
      </c>
      <c r="F51">
        <v>4</v>
      </c>
      <c r="G51">
        <v>0.5</v>
      </c>
      <c r="H51">
        <v>9.5</v>
      </c>
      <c r="I51" s="63" t="s">
        <v>536</v>
      </c>
    </row>
    <row r="52" spans="1:14" x14ac:dyDescent="0.25">
      <c r="B52" s="58" t="s">
        <v>1110</v>
      </c>
      <c r="C52" s="319">
        <f>(C50-C51)*C49/C48</f>
        <v>0.21000000000000002</v>
      </c>
      <c r="D52" s="319">
        <f>(D50-D51)*D49/D48</f>
        <v>1.1636363636363636</v>
      </c>
      <c r="E52" s="319">
        <f t="shared" ref="E52:F52" si="7">(E50-E51)*E49/E48</f>
        <v>1.8141732283464569</v>
      </c>
      <c r="F52" s="319">
        <f t="shared" si="7"/>
        <v>2.150537634408602</v>
      </c>
      <c r="G52" s="319">
        <f>(G50-G51)*G49/G48</f>
        <v>6.3636363636363633</v>
      </c>
      <c r="H52" s="319">
        <f>(H50-H51)*H49/H48</f>
        <v>6.756756756756757</v>
      </c>
      <c r="I52" s="66" t="s">
        <v>552</v>
      </c>
      <c r="J52" s="15"/>
      <c r="K52" s="15"/>
    </row>
    <row r="53" spans="1:14" x14ac:dyDescent="0.25">
      <c r="B53" s="14"/>
      <c r="C53" s="15"/>
      <c r="D53" s="15"/>
      <c r="E53" s="15"/>
      <c r="F53" s="15"/>
      <c r="G53" s="15"/>
      <c r="H53" s="15"/>
      <c r="I53" s="15"/>
      <c r="J53" s="15"/>
      <c r="K53" s="15"/>
    </row>
    <row r="54" spans="1:14" x14ac:dyDescent="0.25">
      <c r="B54" s="14" t="s">
        <v>1133</v>
      </c>
      <c r="C54" s="15"/>
      <c r="D54" s="15"/>
      <c r="E54" s="15"/>
      <c r="F54" s="15"/>
      <c r="G54" s="15"/>
      <c r="H54" s="15"/>
      <c r="I54" s="15"/>
      <c r="J54" s="15" t="s">
        <v>1134</v>
      </c>
      <c r="K54" s="15"/>
    </row>
    <row r="55" spans="1:14" x14ac:dyDescent="0.25">
      <c r="B55" s="14" t="s">
        <v>1116</v>
      </c>
      <c r="C55" s="15">
        <v>2.5</v>
      </c>
      <c r="D55" s="15" t="s">
        <v>552</v>
      </c>
      <c r="E55" s="15"/>
      <c r="F55" s="15"/>
      <c r="G55" s="15"/>
      <c r="H55" s="15"/>
      <c r="I55" s="15"/>
      <c r="J55" s="15"/>
      <c r="K55" s="15"/>
    </row>
    <row r="56" spans="1:14" x14ac:dyDescent="0.25">
      <c r="B56" s="14" t="s">
        <v>1135</v>
      </c>
      <c r="C56" s="15">
        <v>4.5</v>
      </c>
      <c r="D56" s="15" t="s">
        <v>552</v>
      </c>
      <c r="E56" s="15"/>
      <c r="F56" s="15"/>
      <c r="G56" s="15"/>
      <c r="H56" s="15"/>
      <c r="I56" s="15"/>
      <c r="J56" s="15"/>
      <c r="K56" s="15"/>
    </row>
    <row r="57" spans="1:14" x14ac:dyDescent="0.25">
      <c r="B57" s="14" t="s">
        <v>1136</v>
      </c>
      <c r="C57">
        <v>5.0999999999999996</v>
      </c>
      <c r="D57" s="15" t="s">
        <v>552</v>
      </c>
    </row>
    <row r="58" spans="1:14" x14ac:dyDescent="0.25">
      <c r="B58" s="14" t="s">
        <v>1137</v>
      </c>
      <c r="C58">
        <v>1</v>
      </c>
      <c r="D58" s="15" t="s">
        <v>552</v>
      </c>
    </row>
    <row r="59" spans="1:14" s="23" customFormat="1" x14ac:dyDescent="0.25">
      <c r="A59" s="216"/>
      <c r="B59" s="14" t="s">
        <v>1138</v>
      </c>
      <c r="C59">
        <v>22.5</v>
      </c>
      <c r="D59" s="15" t="s">
        <v>552</v>
      </c>
      <c r="N59" s="216"/>
    </row>
    <row r="61" spans="1:14" x14ac:dyDescent="0.25">
      <c r="B61" s="58" t="s">
        <v>1110</v>
      </c>
      <c r="C61" s="17">
        <f>SUM(C55:C59)</f>
        <v>35.6</v>
      </c>
      <c r="D61" s="153" t="s">
        <v>552</v>
      </c>
    </row>
    <row r="63" spans="1:14" x14ac:dyDescent="0.25">
      <c r="B63" s="14"/>
      <c r="C63" s="15"/>
      <c r="D63" s="15"/>
      <c r="E63" s="15"/>
      <c r="F63" s="15"/>
      <c r="G63" s="15"/>
      <c r="H63" s="15"/>
      <c r="I63" s="15"/>
    </row>
    <row r="64" spans="1:14" x14ac:dyDescent="0.25">
      <c r="B64" s="14"/>
      <c r="J64" s="196"/>
    </row>
    <row r="65" spans="1:14" x14ac:dyDescent="0.25">
      <c r="B65" s="14"/>
    </row>
    <row r="66" spans="1:14" x14ac:dyDescent="0.25">
      <c r="B66" s="19"/>
    </row>
    <row r="67" spans="1:14" x14ac:dyDescent="0.25">
      <c r="B67" s="19"/>
    </row>
    <row r="68" spans="1:14" x14ac:dyDescent="0.25">
      <c r="B68" s="14"/>
    </row>
    <row r="77" spans="1:14" s="23" customFormat="1" x14ac:dyDescent="0.25">
      <c r="A77" s="216"/>
      <c r="N77" s="216"/>
    </row>
    <row r="78" spans="1:14" x14ac:dyDescent="0.25">
      <c r="B78" s="55"/>
      <c r="C78" s="18"/>
      <c r="D78" s="18"/>
      <c r="E78" s="18"/>
      <c r="F78" s="18"/>
      <c r="G78" s="18"/>
      <c r="H78" s="18"/>
      <c r="I78" s="18"/>
      <c r="J78" s="18"/>
      <c r="K78" s="18"/>
    </row>
    <row r="79" spans="1:14" x14ac:dyDescent="0.25">
      <c r="C79" s="27"/>
      <c r="D79" s="27"/>
      <c r="E79" s="27"/>
      <c r="F79" s="27"/>
      <c r="G79" s="27"/>
      <c r="H79" s="27"/>
      <c r="I79" s="27"/>
      <c r="J79" s="27"/>
      <c r="K79" s="27"/>
    </row>
    <row r="80" spans="1:14" s="23" customFormat="1" x14ac:dyDescent="0.25">
      <c r="A80" s="216"/>
      <c r="C80" s="24"/>
      <c r="D80" s="24"/>
      <c r="E80" s="24"/>
      <c r="F80" s="24"/>
      <c r="G80" s="24"/>
      <c r="H80" s="24"/>
      <c r="I80" s="24"/>
      <c r="J80" s="24"/>
      <c r="K80" s="24"/>
      <c r="N80" s="216"/>
    </row>
    <row r="81" spans="1:14" s="23" customFormat="1" x14ac:dyDescent="0.25">
      <c r="A81" s="216"/>
      <c r="C81" s="25"/>
      <c r="D81" s="25"/>
      <c r="E81" s="25"/>
      <c r="F81" s="25"/>
      <c r="G81" s="25"/>
      <c r="H81" s="25"/>
      <c r="I81" s="25"/>
      <c r="J81" s="25"/>
      <c r="K81" s="25"/>
      <c r="N81" s="216"/>
    </row>
    <row r="87" spans="1:14" x14ac:dyDescent="0.25">
      <c r="B87" s="14"/>
    </row>
    <row r="88" spans="1:14" x14ac:dyDescent="0.25">
      <c r="C88" s="27"/>
      <c r="D88" s="27"/>
      <c r="E88" s="27"/>
      <c r="F88" s="27"/>
      <c r="G88" s="27"/>
      <c r="H88" s="27"/>
      <c r="I88" s="27"/>
      <c r="J88" s="27"/>
      <c r="K88" s="27"/>
    </row>
    <row r="95" spans="1:14" x14ac:dyDescent="0.25">
      <c r="B95" s="14"/>
    </row>
    <row r="96" spans="1:14" x14ac:dyDescent="0.25">
      <c r="C96" s="27"/>
      <c r="D96" s="27"/>
      <c r="E96" s="27"/>
      <c r="F96" s="27"/>
      <c r="G96" s="27"/>
      <c r="H96" s="27"/>
      <c r="I96" s="27"/>
      <c r="J96" s="27"/>
      <c r="K96" s="27"/>
    </row>
  </sheetData>
  <mergeCells count="5">
    <mergeCell ref="B45:I46"/>
    <mergeCell ref="B12:K13"/>
    <mergeCell ref="B23:K24"/>
    <mergeCell ref="B35:K36"/>
    <mergeCell ref="B4:K5"/>
  </mergeCells>
  <hyperlinks>
    <hyperlink ref="C2" r:id="rId1" xr:uid="{26C4C4EA-8D10-47DE-A7FD-A8F310F8CEFC}"/>
  </hyperlinks>
  <pageMargins left="0.7" right="0.7" top="0.75" bottom="0.75" header="0.3" footer="0.3"/>
  <pageSetup paperSize="9" orientation="portrait"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5542B9-2AD6-4DB6-A293-AACF09F87654}">
  <sheetPr>
    <tabColor rgb="FF44546A"/>
  </sheetPr>
  <dimension ref="A2:O13"/>
  <sheetViews>
    <sheetView workbookViewId="0">
      <selection activeCell="K13" sqref="K13"/>
    </sheetView>
  </sheetViews>
  <sheetFormatPr defaultRowHeight="15.75" x14ac:dyDescent="0.25"/>
  <cols>
    <col min="1" max="1" width="1.25" style="216" customWidth="1"/>
    <col min="4" max="4" width="16.875" customWidth="1"/>
    <col min="15" max="15" width="1.25" style="216" customWidth="1"/>
  </cols>
  <sheetData>
    <row r="2" spans="2:8" x14ac:dyDescent="0.25">
      <c r="B2" s="237" t="s">
        <v>507</v>
      </c>
      <c r="C2" s="167" t="s">
        <v>524</v>
      </c>
    </row>
    <row r="4" spans="2:8" ht="21" x14ac:dyDescent="0.25">
      <c r="B4" s="402" t="s">
        <v>983</v>
      </c>
      <c r="C4" s="402"/>
      <c r="D4" s="402"/>
    </row>
    <row r="5" spans="2:8" x14ac:dyDescent="0.25">
      <c r="C5" s="239"/>
      <c r="D5" s="256" t="s">
        <v>550</v>
      </c>
    </row>
    <row r="6" spans="2:8" x14ac:dyDescent="0.25">
      <c r="B6">
        <v>2016</v>
      </c>
      <c r="C6" t="s">
        <v>1139</v>
      </c>
      <c r="D6">
        <v>1.2</v>
      </c>
      <c r="E6" t="s">
        <v>1140</v>
      </c>
    </row>
    <row r="7" spans="2:8" x14ac:dyDescent="0.25">
      <c r="B7">
        <v>2016</v>
      </c>
      <c r="C7" t="s">
        <v>1141</v>
      </c>
      <c r="D7">
        <v>1.8</v>
      </c>
      <c r="E7" t="s">
        <v>1140</v>
      </c>
    </row>
    <row r="9" spans="2:8" ht="15" customHeight="1" x14ac:dyDescent="0.25"/>
    <row r="10" spans="2:8" ht="15.75" customHeight="1" x14ac:dyDescent="0.25">
      <c r="B10" s="421" t="s">
        <v>1142</v>
      </c>
      <c r="C10" s="421"/>
      <c r="D10" s="421"/>
      <c r="E10" s="421"/>
      <c r="F10" s="421"/>
      <c r="G10" s="421"/>
      <c r="H10" s="421"/>
    </row>
    <row r="11" spans="2:8" x14ac:dyDescent="0.25">
      <c r="B11" s="421"/>
      <c r="C11" s="421"/>
      <c r="D11" s="421"/>
      <c r="E11" s="421"/>
      <c r="F11" s="421"/>
      <c r="G11" s="421"/>
      <c r="H11" s="421"/>
    </row>
    <row r="12" spans="2:8" x14ac:dyDescent="0.25">
      <c r="B12" s="421"/>
      <c r="C12" s="421"/>
      <c r="D12" s="421"/>
      <c r="E12" s="421"/>
      <c r="F12" s="421"/>
      <c r="G12" s="421"/>
      <c r="H12" s="421"/>
    </row>
    <row r="13" spans="2:8" ht="30" customHeight="1" x14ac:dyDescent="0.25">
      <c r="B13" s="421"/>
      <c r="C13" s="421"/>
      <c r="D13" s="421"/>
      <c r="E13" s="421"/>
      <c r="F13" s="421"/>
      <c r="G13" s="421"/>
      <c r="H13" s="421"/>
    </row>
  </sheetData>
  <mergeCells count="2">
    <mergeCell ref="B4:D4"/>
    <mergeCell ref="B10:H13"/>
  </mergeCells>
  <hyperlinks>
    <hyperlink ref="C2" r:id="rId1" xr:uid="{C4CA1644-6BA8-4403-A3A7-3D9D52036CDE}"/>
  </hyperlinks>
  <pageMargins left="0.7" right="0.7" top="0.75" bottom="0.75" header="0.3" footer="0.3"/>
  <pageSetup paperSize="9"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E0751-1AA7-4463-A8F5-5812CFB2A7CC}">
  <sheetPr>
    <tabColor rgb="FF000000"/>
  </sheetPr>
  <dimension ref="A1:AI314"/>
  <sheetViews>
    <sheetView zoomScale="50" zoomScaleNormal="50" workbookViewId="0">
      <pane ySplit="5" topLeftCell="A202" activePane="bottomLeft" state="frozen"/>
      <selection pane="bottomLeft" activeCell="Y203" sqref="Y203"/>
    </sheetView>
  </sheetViews>
  <sheetFormatPr defaultRowHeight="15.75" x14ac:dyDescent="0.25"/>
  <cols>
    <col min="2" max="2" width="35.5" customWidth="1"/>
    <col min="3" max="21" width="14.625" customWidth="1"/>
    <col min="22" max="22" width="69" customWidth="1"/>
    <col min="23" max="23" width="14.625" style="81" customWidth="1"/>
    <col min="32" max="32" width="12.875" customWidth="1"/>
    <col min="33" max="33" width="24.875" customWidth="1"/>
  </cols>
  <sheetData>
    <row r="1" spans="1:35" s="82" customFormat="1" x14ac:dyDescent="0.25">
      <c r="A1"/>
      <c r="W1" s="304"/>
    </row>
    <row r="2" spans="1:35" s="2" customFormat="1" ht="36.950000000000003" customHeight="1" x14ac:dyDescent="0.25">
      <c r="B2" s="380" t="s">
        <v>67</v>
      </c>
      <c r="C2" s="380"/>
      <c r="D2" s="380"/>
      <c r="E2" s="380"/>
      <c r="F2" s="380"/>
      <c r="G2" s="380"/>
      <c r="H2" s="380"/>
      <c r="I2" s="380"/>
      <c r="J2" s="380"/>
      <c r="K2" s="380"/>
      <c r="L2" s="380"/>
      <c r="M2" s="380"/>
      <c r="N2" s="380"/>
      <c r="O2" s="380"/>
      <c r="P2" s="380"/>
      <c r="Q2" s="380"/>
      <c r="R2" s="380"/>
      <c r="S2" s="380"/>
      <c r="T2" s="380"/>
      <c r="U2" s="380"/>
      <c r="V2" s="380"/>
      <c r="W2" s="380"/>
      <c r="X2" s="1"/>
      <c r="Y2" s="1"/>
      <c r="Z2" s="1"/>
      <c r="AA2" s="1"/>
      <c r="AB2" s="1"/>
      <c r="AC2" s="1"/>
      <c r="AD2" s="1"/>
      <c r="AE2" s="1"/>
      <c r="AF2" s="1"/>
      <c r="AG2" s="1"/>
      <c r="AH2" s="1"/>
      <c r="AI2" s="1"/>
    </row>
    <row r="3" spans="1:35" s="43" customFormat="1" x14ac:dyDescent="0.25">
      <c r="A3" s="2"/>
      <c r="B3" s="42"/>
      <c r="C3" s="42"/>
      <c r="D3" s="42"/>
      <c r="E3" s="42"/>
      <c r="F3" s="42"/>
      <c r="G3" s="42"/>
      <c r="H3" s="42"/>
      <c r="I3" s="42"/>
      <c r="J3" s="42"/>
      <c r="K3" s="42"/>
      <c r="L3" s="42"/>
      <c r="M3" s="42"/>
      <c r="N3" s="42"/>
      <c r="O3" s="42"/>
      <c r="P3" s="42"/>
      <c r="Q3" s="42"/>
      <c r="R3" s="42"/>
      <c r="S3" s="42"/>
      <c r="T3" s="42"/>
      <c r="U3" s="42"/>
      <c r="V3" s="73"/>
      <c r="W3" s="42"/>
    </row>
    <row r="4" spans="1:35" s="2" customFormat="1" ht="35.25" customHeight="1" x14ac:dyDescent="0.25">
      <c r="B4" s="75" t="s">
        <v>1</v>
      </c>
      <c r="C4" s="75" t="s">
        <v>2</v>
      </c>
      <c r="D4" s="75" t="s">
        <v>3</v>
      </c>
      <c r="E4" s="75" t="s">
        <v>4</v>
      </c>
      <c r="F4" s="75" t="s">
        <v>5</v>
      </c>
      <c r="G4" s="381" t="s">
        <v>6</v>
      </c>
      <c r="H4" s="382"/>
      <c r="I4" s="382"/>
      <c r="J4" s="382"/>
      <c r="K4" s="382"/>
      <c r="L4" s="382"/>
      <c r="M4" s="382"/>
      <c r="N4" s="382"/>
      <c r="O4" s="382"/>
      <c r="P4" s="382"/>
      <c r="Q4" s="382"/>
      <c r="R4" s="382"/>
      <c r="S4" s="382"/>
      <c r="T4" s="382"/>
      <c r="U4" s="383"/>
      <c r="V4" s="76" t="s">
        <v>7</v>
      </c>
      <c r="W4" s="244" t="s">
        <v>68</v>
      </c>
      <c r="X4" s="43"/>
      <c r="Y4" s="43"/>
      <c r="Z4" s="43"/>
      <c r="AA4" s="43"/>
      <c r="AB4" s="43"/>
      <c r="AC4" s="43"/>
    </row>
    <row r="5" spans="1:35" s="2" customFormat="1" ht="70.5" customHeight="1" x14ac:dyDescent="0.25">
      <c r="B5" s="8"/>
      <c r="C5" s="8"/>
      <c r="D5" s="8"/>
      <c r="E5" s="8"/>
      <c r="F5" s="77" t="s">
        <v>8</v>
      </c>
      <c r="G5" s="77" t="s">
        <v>9</v>
      </c>
      <c r="H5" s="77" t="s">
        <v>10</v>
      </c>
      <c r="I5" s="77" t="s">
        <v>11</v>
      </c>
      <c r="J5" s="77" t="s">
        <v>12</v>
      </c>
      <c r="K5" s="77" t="s">
        <v>13</v>
      </c>
      <c r="L5" s="77" t="s">
        <v>14</v>
      </c>
      <c r="M5" s="77" t="s">
        <v>15</v>
      </c>
      <c r="N5" s="77" t="s">
        <v>16</v>
      </c>
      <c r="O5" s="77" t="s">
        <v>17</v>
      </c>
      <c r="P5" s="77" t="s">
        <v>18</v>
      </c>
      <c r="Q5" s="77" t="s">
        <v>19</v>
      </c>
      <c r="R5" s="77" t="s">
        <v>20</v>
      </c>
      <c r="S5" s="77" t="s">
        <v>21</v>
      </c>
      <c r="T5" s="77" t="s">
        <v>22</v>
      </c>
      <c r="U5" s="77" t="s">
        <v>23</v>
      </c>
      <c r="V5" s="9"/>
      <c r="W5" s="42"/>
      <c r="X5" s="43"/>
      <c r="Y5" s="43"/>
      <c r="Z5" s="43"/>
      <c r="AA5" s="43"/>
      <c r="AB5" s="43"/>
      <c r="AC5" s="43"/>
    </row>
    <row r="6" spans="1:35" s="343" customFormat="1" x14ac:dyDescent="0.25">
      <c r="W6" s="311"/>
    </row>
    <row r="7" spans="1:35" s="34" customFormat="1" ht="138" customHeight="1" x14ac:dyDescent="0.25">
      <c r="A7" s="2"/>
      <c r="B7" s="71" t="s">
        <v>69</v>
      </c>
      <c r="C7" s="91" t="s">
        <v>70</v>
      </c>
      <c r="D7" s="3">
        <v>2016</v>
      </c>
      <c r="E7" s="81" t="s">
        <v>71</v>
      </c>
      <c r="F7" s="91" t="s">
        <v>45</v>
      </c>
      <c r="G7" s="3" t="s">
        <v>46</v>
      </c>
      <c r="H7" s="3" t="s">
        <v>72</v>
      </c>
      <c r="I7" s="3" t="s">
        <v>72</v>
      </c>
      <c r="J7" s="3">
        <v>32</v>
      </c>
      <c r="K7" s="3">
        <v>300</v>
      </c>
      <c r="L7" s="3" t="s">
        <v>73</v>
      </c>
      <c r="M7" s="3" t="s">
        <v>47</v>
      </c>
      <c r="N7" s="3" t="s">
        <v>74</v>
      </c>
      <c r="O7" s="3" t="s">
        <v>75</v>
      </c>
      <c r="P7" s="3" t="s">
        <v>49</v>
      </c>
      <c r="Q7" s="3" t="s">
        <v>74</v>
      </c>
      <c r="R7" s="3" t="s">
        <v>76</v>
      </c>
      <c r="S7" s="3" t="s">
        <v>77</v>
      </c>
      <c r="T7" s="3" t="s">
        <v>47</v>
      </c>
      <c r="U7" s="3" t="s">
        <v>47</v>
      </c>
      <c r="V7" s="4" t="s">
        <v>78</v>
      </c>
      <c r="W7" s="302">
        <f>'Proske data'!D8</f>
        <v>5.4</v>
      </c>
      <c r="X7" s="78"/>
      <c r="Y7" s="78"/>
      <c r="Z7" s="2"/>
      <c r="AA7" s="2"/>
      <c r="AB7" s="2"/>
      <c r="AC7" s="2"/>
      <c r="AD7" s="2"/>
      <c r="AE7" s="2"/>
      <c r="AF7" s="2"/>
      <c r="AG7" s="2"/>
    </row>
    <row r="8" spans="1:35" s="34" customFormat="1" ht="94.5" x14ac:dyDescent="0.25">
      <c r="A8" s="2"/>
      <c r="B8" s="71" t="s">
        <v>79</v>
      </c>
      <c r="C8" s="91" t="s">
        <v>70</v>
      </c>
      <c r="D8" s="3">
        <v>2020</v>
      </c>
      <c r="E8" s="352" t="s">
        <v>80</v>
      </c>
      <c r="F8" s="91" t="s">
        <v>45</v>
      </c>
      <c r="G8" s="3" t="s">
        <v>46</v>
      </c>
      <c r="H8" s="3" t="s">
        <v>47</v>
      </c>
      <c r="I8" s="3" t="s">
        <v>81</v>
      </c>
      <c r="J8" s="3">
        <v>32</v>
      </c>
      <c r="K8" s="3" t="s">
        <v>82</v>
      </c>
      <c r="L8" s="3" t="s">
        <v>77</v>
      </c>
      <c r="M8" s="3" t="s">
        <v>47</v>
      </c>
      <c r="N8" s="3" t="s">
        <v>74</v>
      </c>
      <c r="O8" s="3" t="s">
        <v>75</v>
      </c>
      <c r="P8" s="3" t="s">
        <v>49</v>
      </c>
      <c r="Q8" s="3" t="s">
        <v>74</v>
      </c>
      <c r="R8" s="3" t="s">
        <v>53</v>
      </c>
      <c r="S8" s="3" t="s">
        <v>72</v>
      </c>
      <c r="T8" s="3" t="s">
        <v>47</v>
      </c>
      <c r="U8" s="3" t="s">
        <v>47</v>
      </c>
      <c r="V8" s="4" t="s">
        <v>83</v>
      </c>
      <c r="W8" s="302">
        <f>'Proske data'!N8</f>
        <v>3.3</v>
      </c>
      <c r="X8" s="78"/>
      <c r="Y8" s="78"/>
      <c r="Z8" s="2"/>
      <c r="AA8" s="2"/>
      <c r="AB8" s="2"/>
      <c r="AC8" s="2"/>
      <c r="AD8" s="2"/>
      <c r="AE8" s="2"/>
      <c r="AF8" s="2"/>
      <c r="AG8" s="2"/>
    </row>
    <row r="9" spans="1:35" s="34" customFormat="1" ht="110.25" x14ac:dyDescent="0.25">
      <c r="A9" s="2"/>
      <c r="B9" s="2" t="s">
        <v>84</v>
      </c>
      <c r="C9" s="21" t="s">
        <v>85</v>
      </c>
      <c r="D9" s="3">
        <v>2012</v>
      </c>
      <c r="E9" s="81" t="s">
        <v>86</v>
      </c>
      <c r="F9" s="91" t="s">
        <v>45</v>
      </c>
      <c r="G9" s="3" t="s">
        <v>46</v>
      </c>
      <c r="H9" s="3" t="s">
        <v>47</v>
      </c>
      <c r="I9" s="7" t="s">
        <v>76</v>
      </c>
      <c r="J9" s="3">
        <v>350</v>
      </c>
      <c r="K9" s="3">
        <v>200</v>
      </c>
      <c r="L9" s="3" t="s">
        <v>47</v>
      </c>
      <c r="M9" s="3" t="s">
        <v>47</v>
      </c>
      <c r="N9" s="3" t="s">
        <v>47</v>
      </c>
      <c r="O9" s="3" t="s">
        <v>87</v>
      </c>
      <c r="P9" s="3" t="s">
        <v>88</v>
      </c>
      <c r="Q9" s="7" t="s">
        <v>61</v>
      </c>
      <c r="R9" s="3" t="s">
        <v>47</v>
      </c>
      <c r="S9" s="7" t="s">
        <v>89</v>
      </c>
      <c r="T9" s="7" t="s">
        <v>47</v>
      </c>
      <c r="U9" s="7" t="s">
        <v>73</v>
      </c>
      <c r="V9" s="4" t="s">
        <v>90</v>
      </c>
      <c r="W9" s="303">
        <f>'Boyd data'!C43</f>
        <v>3.2653061224489797</v>
      </c>
      <c r="X9" s="78"/>
      <c r="Y9" s="322"/>
      <c r="Z9" s="2"/>
      <c r="AA9" s="2"/>
      <c r="AB9" s="2"/>
      <c r="AC9" s="2"/>
      <c r="AD9" s="2"/>
      <c r="AE9" s="2"/>
      <c r="AF9" s="2"/>
      <c r="AG9" s="2"/>
    </row>
    <row r="10" spans="1:35" s="34" customFormat="1" ht="110.25" x14ac:dyDescent="0.25">
      <c r="A10" s="2"/>
      <c r="B10" s="2" t="s">
        <v>84</v>
      </c>
      <c r="C10" s="21" t="s">
        <v>85</v>
      </c>
      <c r="D10" s="3">
        <v>2012</v>
      </c>
      <c r="E10" s="81" t="s">
        <v>91</v>
      </c>
      <c r="F10" s="91" t="s">
        <v>45</v>
      </c>
      <c r="G10" s="3" t="s">
        <v>46</v>
      </c>
      <c r="H10" s="3" t="s">
        <v>47</v>
      </c>
      <c r="I10" s="7" t="s">
        <v>76</v>
      </c>
      <c r="J10" s="3">
        <v>250</v>
      </c>
      <c r="K10" s="3">
        <v>200</v>
      </c>
      <c r="L10" s="3" t="s">
        <v>47</v>
      </c>
      <c r="M10" s="3" t="s">
        <v>47</v>
      </c>
      <c r="N10" s="3" t="s">
        <v>47</v>
      </c>
      <c r="O10" s="3" t="s">
        <v>87</v>
      </c>
      <c r="P10" s="3" t="s">
        <v>88</v>
      </c>
      <c r="Q10" s="7" t="s">
        <v>61</v>
      </c>
      <c r="R10" s="3" t="s">
        <v>47</v>
      </c>
      <c r="S10" s="7" t="s">
        <v>89</v>
      </c>
      <c r="T10" s="7" t="s">
        <v>47</v>
      </c>
      <c r="U10" s="7" t="s">
        <v>73</v>
      </c>
      <c r="V10" s="4" t="s">
        <v>90</v>
      </c>
      <c r="W10" s="303">
        <f>'Boyd data'!D43</f>
        <v>2.8000000000000003</v>
      </c>
      <c r="X10" s="78"/>
      <c r="Y10" s="78"/>
      <c r="Z10" s="2"/>
      <c r="AA10" s="2"/>
      <c r="AB10" s="2"/>
      <c r="AC10" s="2"/>
      <c r="AD10" s="2"/>
      <c r="AE10" s="2"/>
      <c r="AF10" s="2"/>
      <c r="AG10" s="2"/>
    </row>
    <row r="11" spans="1:35" s="34" customFormat="1" ht="110.25" x14ac:dyDescent="0.25">
      <c r="A11" s="2"/>
      <c r="B11" s="2" t="s">
        <v>84</v>
      </c>
      <c r="C11" s="21" t="s">
        <v>85</v>
      </c>
      <c r="D11" s="3">
        <v>2012</v>
      </c>
      <c r="E11" s="81" t="s">
        <v>92</v>
      </c>
      <c r="F11" s="91" t="s">
        <v>45</v>
      </c>
      <c r="G11" s="3" t="s">
        <v>46</v>
      </c>
      <c r="H11" s="3" t="s">
        <v>47</v>
      </c>
      <c r="I11" s="7" t="s">
        <v>76</v>
      </c>
      <c r="J11" s="3">
        <v>180</v>
      </c>
      <c r="K11" s="3">
        <v>300</v>
      </c>
      <c r="L11" s="3" t="s">
        <v>47</v>
      </c>
      <c r="M11" s="3" t="s">
        <v>47</v>
      </c>
      <c r="N11" s="3" t="s">
        <v>47</v>
      </c>
      <c r="O11" s="3" t="s">
        <v>87</v>
      </c>
      <c r="P11" s="3" t="s">
        <v>88</v>
      </c>
      <c r="Q11" s="7" t="s">
        <v>61</v>
      </c>
      <c r="R11" s="3" t="s">
        <v>47</v>
      </c>
      <c r="S11" s="7" t="s">
        <v>89</v>
      </c>
      <c r="T11" s="7" t="s">
        <v>47</v>
      </c>
      <c r="U11" s="7" t="s">
        <v>73</v>
      </c>
      <c r="V11" s="4" t="s">
        <v>90</v>
      </c>
      <c r="W11" s="303">
        <f>'Boyd data'!E43</f>
        <v>2.72</v>
      </c>
      <c r="X11" s="78"/>
      <c r="Y11" s="78"/>
      <c r="Z11" s="2"/>
      <c r="AA11" s="2"/>
      <c r="AB11" s="2"/>
      <c r="AC11" s="2"/>
      <c r="AD11" s="2"/>
      <c r="AE11" s="2"/>
      <c r="AF11" s="2"/>
      <c r="AG11" s="2"/>
    </row>
    <row r="12" spans="1:35" s="34" customFormat="1" ht="110.25" x14ac:dyDescent="0.25">
      <c r="A12" s="2"/>
      <c r="B12" s="2" t="s">
        <v>84</v>
      </c>
      <c r="C12" s="21" t="s">
        <v>85</v>
      </c>
      <c r="D12" s="3">
        <v>2012</v>
      </c>
      <c r="E12" s="81" t="s">
        <v>93</v>
      </c>
      <c r="F12" s="91" t="s">
        <v>45</v>
      </c>
      <c r="G12" s="3" t="s">
        <v>46</v>
      </c>
      <c r="H12" s="3" t="s">
        <v>47</v>
      </c>
      <c r="I12" s="7" t="s">
        <v>76</v>
      </c>
      <c r="J12" s="3">
        <v>130</v>
      </c>
      <c r="K12" s="3">
        <v>300</v>
      </c>
      <c r="L12" s="3" t="s">
        <v>47</v>
      </c>
      <c r="M12" s="3" t="s">
        <v>47</v>
      </c>
      <c r="N12" s="3" t="s">
        <v>47</v>
      </c>
      <c r="O12" s="3" t="s">
        <v>87</v>
      </c>
      <c r="P12" s="3" t="s">
        <v>88</v>
      </c>
      <c r="Q12" s="7" t="s">
        <v>61</v>
      </c>
      <c r="R12" s="3" t="s">
        <v>47</v>
      </c>
      <c r="S12" s="7" t="s">
        <v>89</v>
      </c>
      <c r="T12" s="7" t="s">
        <v>47</v>
      </c>
      <c r="U12" s="7" t="s">
        <v>73</v>
      </c>
      <c r="V12" s="4" t="s">
        <v>90</v>
      </c>
      <c r="W12" s="303">
        <f>'Boyd data'!F43</f>
        <v>1.857142857142857</v>
      </c>
      <c r="X12" s="78"/>
      <c r="Y12" s="78"/>
      <c r="Z12" s="2"/>
      <c r="AA12" s="2"/>
      <c r="AB12" s="2"/>
      <c r="AC12" s="2"/>
      <c r="AD12" s="2"/>
      <c r="AE12" s="2"/>
      <c r="AF12" s="2"/>
      <c r="AG12" s="2"/>
    </row>
    <row r="13" spans="1:35" s="34" customFormat="1" ht="110.25" x14ac:dyDescent="0.25">
      <c r="A13" s="2"/>
      <c r="B13" s="2" t="s">
        <v>84</v>
      </c>
      <c r="C13" s="21" t="s">
        <v>85</v>
      </c>
      <c r="D13" s="3">
        <v>2012</v>
      </c>
      <c r="E13" s="81" t="s">
        <v>94</v>
      </c>
      <c r="F13" s="91" t="s">
        <v>45</v>
      </c>
      <c r="G13" s="3" t="s">
        <v>46</v>
      </c>
      <c r="H13" s="3" t="s">
        <v>47</v>
      </c>
      <c r="I13" s="7" t="s">
        <v>76</v>
      </c>
      <c r="J13" s="3">
        <v>90</v>
      </c>
      <c r="K13" s="3">
        <v>300</v>
      </c>
      <c r="L13" s="3" t="s">
        <v>47</v>
      </c>
      <c r="M13" s="3" t="s">
        <v>47</v>
      </c>
      <c r="N13" s="3" t="s">
        <v>47</v>
      </c>
      <c r="O13" s="3" t="s">
        <v>87</v>
      </c>
      <c r="P13" s="3" t="s">
        <v>88</v>
      </c>
      <c r="Q13" s="7" t="s">
        <v>61</v>
      </c>
      <c r="R13" s="3" t="s">
        <v>47</v>
      </c>
      <c r="S13" s="7" t="s">
        <v>89</v>
      </c>
      <c r="T13" s="7" t="s">
        <v>47</v>
      </c>
      <c r="U13" s="7" t="s">
        <v>73</v>
      </c>
      <c r="V13" s="4" t="s">
        <v>90</v>
      </c>
      <c r="W13" s="303">
        <f>'Boyd data'!G43</f>
        <v>2.214285714285714</v>
      </c>
      <c r="X13" s="78"/>
      <c r="Y13" s="78"/>
      <c r="Z13" s="2"/>
      <c r="AA13" s="2"/>
      <c r="AB13" s="2"/>
      <c r="AC13" s="2"/>
      <c r="AD13" s="2"/>
      <c r="AE13" s="2"/>
      <c r="AF13" s="2"/>
      <c r="AG13" s="2"/>
    </row>
    <row r="14" spans="1:35" s="34" customFormat="1" ht="110.25" x14ac:dyDescent="0.25">
      <c r="A14" s="2"/>
      <c r="B14" s="2" t="s">
        <v>84</v>
      </c>
      <c r="C14" s="21" t="s">
        <v>85</v>
      </c>
      <c r="D14" s="3">
        <v>2012</v>
      </c>
      <c r="E14" s="81" t="s">
        <v>95</v>
      </c>
      <c r="F14" s="91" t="s">
        <v>45</v>
      </c>
      <c r="G14" s="3" t="s">
        <v>46</v>
      </c>
      <c r="H14" s="3" t="s">
        <v>47</v>
      </c>
      <c r="I14" s="7" t="s">
        <v>76</v>
      </c>
      <c r="J14" s="3">
        <v>65</v>
      </c>
      <c r="K14" s="3">
        <v>300</v>
      </c>
      <c r="L14" s="3" t="s">
        <v>47</v>
      </c>
      <c r="M14" s="3" t="s">
        <v>47</v>
      </c>
      <c r="N14" s="3" t="s">
        <v>47</v>
      </c>
      <c r="O14" s="3" t="s">
        <v>87</v>
      </c>
      <c r="P14" s="3" t="s">
        <v>88</v>
      </c>
      <c r="Q14" s="7" t="s">
        <v>61</v>
      </c>
      <c r="R14" s="3" t="s">
        <v>47</v>
      </c>
      <c r="S14" s="7" t="s">
        <v>89</v>
      </c>
      <c r="T14" s="7" t="s">
        <v>47</v>
      </c>
      <c r="U14" s="7" t="s">
        <v>73</v>
      </c>
      <c r="V14" s="4" t="s">
        <v>90</v>
      </c>
      <c r="W14" s="303">
        <f>'Boyd data'!H43</f>
        <v>2.0714285714285716</v>
      </c>
      <c r="X14" s="78"/>
      <c r="Y14" s="78"/>
      <c r="Z14" s="2"/>
      <c r="AA14" s="2"/>
      <c r="AB14" s="2"/>
      <c r="AC14" s="2"/>
      <c r="AD14" s="2"/>
      <c r="AE14" s="2"/>
      <c r="AF14" s="2"/>
      <c r="AG14" s="2"/>
    </row>
    <row r="15" spans="1:35" s="34" customFormat="1" ht="110.25" x14ac:dyDescent="0.25">
      <c r="A15" s="2"/>
      <c r="B15" s="2" t="s">
        <v>84</v>
      </c>
      <c r="C15" s="21" t="s">
        <v>85</v>
      </c>
      <c r="D15" s="3">
        <v>2012</v>
      </c>
      <c r="E15" s="81" t="s">
        <v>96</v>
      </c>
      <c r="F15" s="91" t="s">
        <v>45</v>
      </c>
      <c r="G15" s="3" t="s">
        <v>46</v>
      </c>
      <c r="H15" s="3" t="s">
        <v>47</v>
      </c>
      <c r="I15" s="7" t="s">
        <v>76</v>
      </c>
      <c r="J15" s="3">
        <v>45</v>
      </c>
      <c r="K15" s="3">
        <v>300</v>
      </c>
      <c r="L15" s="3" t="s">
        <v>47</v>
      </c>
      <c r="M15" s="3" t="s">
        <v>47</v>
      </c>
      <c r="N15" s="3" t="s">
        <v>47</v>
      </c>
      <c r="O15" s="3" t="s">
        <v>87</v>
      </c>
      <c r="P15" s="3" t="s">
        <v>88</v>
      </c>
      <c r="Q15" s="7" t="s">
        <v>61</v>
      </c>
      <c r="R15" s="3" t="s">
        <v>47</v>
      </c>
      <c r="S15" s="7" t="s">
        <v>89</v>
      </c>
      <c r="T15" s="7" t="s">
        <v>47</v>
      </c>
      <c r="U15" s="7" t="s">
        <v>73</v>
      </c>
      <c r="V15" s="4" t="s">
        <v>90</v>
      </c>
      <c r="W15" s="303">
        <f>'Boyd data'!I43</f>
        <v>3.0285714285714289</v>
      </c>
      <c r="X15" s="78"/>
      <c r="Y15" s="78"/>
      <c r="Z15" s="2"/>
      <c r="AA15" s="2"/>
      <c r="AB15" s="2"/>
      <c r="AC15" s="2"/>
      <c r="AD15" s="2"/>
      <c r="AE15" s="2"/>
      <c r="AF15" s="2"/>
      <c r="AG15" s="2"/>
    </row>
    <row r="16" spans="1:35" s="34" customFormat="1" ht="110.25" x14ac:dyDescent="0.25">
      <c r="A16" s="2"/>
      <c r="B16" s="2" t="s">
        <v>84</v>
      </c>
      <c r="C16" s="21" t="s">
        <v>85</v>
      </c>
      <c r="D16" s="3">
        <v>2012</v>
      </c>
      <c r="E16" s="81" t="s">
        <v>97</v>
      </c>
      <c r="F16" s="91" t="s">
        <v>45</v>
      </c>
      <c r="G16" s="3" t="s">
        <v>46</v>
      </c>
      <c r="H16" s="3" t="s">
        <v>47</v>
      </c>
      <c r="I16" s="7" t="s">
        <v>76</v>
      </c>
      <c r="J16" s="3">
        <v>32</v>
      </c>
      <c r="K16" s="3">
        <v>300</v>
      </c>
      <c r="L16" s="3" t="s">
        <v>47</v>
      </c>
      <c r="M16" s="3" t="s">
        <v>47</v>
      </c>
      <c r="N16" s="3" t="s">
        <v>47</v>
      </c>
      <c r="O16" s="3" t="s">
        <v>87</v>
      </c>
      <c r="P16" s="3" t="s">
        <v>88</v>
      </c>
      <c r="Q16" s="7" t="s">
        <v>61</v>
      </c>
      <c r="R16" s="3" t="s">
        <v>47</v>
      </c>
      <c r="S16" s="7" t="s">
        <v>89</v>
      </c>
      <c r="T16" s="7" t="s">
        <v>47</v>
      </c>
      <c r="U16" s="7" t="s">
        <v>73</v>
      </c>
      <c r="V16" s="4" t="s">
        <v>90</v>
      </c>
      <c r="W16" s="303">
        <f>'Boyd data'!J43</f>
        <v>3.2000000000000006</v>
      </c>
      <c r="X16" s="78"/>
      <c r="Y16" s="78"/>
      <c r="Z16" s="2"/>
      <c r="AA16" s="2"/>
      <c r="AB16" s="2"/>
      <c r="AC16" s="2"/>
      <c r="AD16" s="2"/>
      <c r="AE16" s="2"/>
      <c r="AF16" s="2"/>
      <c r="AG16" s="2"/>
    </row>
    <row r="17" spans="1:33" s="34" customFormat="1" ht="47.25" x14ac:dyDescent="0.25">
      <c r="A17" s="2"/>
      <c r="B17" s="2" t="s">
        <v>98</v>
      </c>
      <c r="C17" s="21" t="s">
        <v>99</v>
      </c>
      <c r="D17" s="3">
        <v>2015</v>
      </c>
      <c r="E17" s="353" t="s">
        <v>100</v>
      </c>
      <c r="F17" s="91" t="s">
        <v>45</v>
      </c>
      <c r="G17" s="3" t="s">
        <v>101</v>
      </c>
      <c r="H17" s="3" t="s">
        <v>47</v>
      </c>
      <c r="I17" s="7" t="s">
        <v>53</v>
      </c>
      <c r="J17" s="3" t="s">
        <v>74</v>
      </c>
      <c r="K17" s="3" t="s">
        <v>74</v>
      </c>
      <c r="L17" s="3" t="s">
        <v>74</v>
      </c>
      <c r="M17" s="3" t="s">
        <v>74</v>
      </c>
      <c r="N17" s="3" t="s">
        <v>74</v>
      </c>
      <c r="O17" s="3" t="s">
        <v>48</v>
      </c>
      <c r="P17" s="3" t="s">
        <v>49</v>
      </c>
      <c r="Q17" s="7" t="s">
        <v>102</v>
      </c>
      <c r="R17" s="3" t="s">
        <v>53</v>
      </c>
      <c r="S17" s="7" t="s">
        <v>103</v>
      </c>
      <c r="T17" s="7" t="s">
        <v>53</v>
      </c>
      <c r="U17" s="7" t="s">
        <v>47</v>
      </c>
      <c r="V17" s="4" t="s">
        <v>104</v>
      </c>
      <c r="W17" s="303">
        <f>'Andrae data'!D6</f>
        <v>2.2000000000000002</v>
      </c>
      <c r="X17" s="78"/>
      <c r="Y17" s="78"/>
      <c r="Z17" s="2"/>
      <c r="AA17" s="2"/>
      <c r="AB17" s="2"/>
      <c r="AC17" s="2"/>
      <c r="AD17" s="2"/>
      <c r="AE17" s="2"/>
      <c r="AF17" s="2"/>
      <c r="AG17" s="2"/>
    </row>
    <row r="18" spans="1:33" s="34" customFormat="1" ht="78.75" x14ac:dyDescent="0.25">
      <c r="A18" s="2"/>
      <c r="B18" s="2" t="s">
        <v>105</v>
      </c>
      <c r="C18" s="21" t="s">
        <v>99</v>
      </c>
      <c r="D18" s="3">
        <v>2014</v>
      </c>
      <c r="E18" s="352" t="s">
        <v>106</v>
      </c>
      <c r="F18" s="91" t="s">
        <v>45</v>
      </c>
      <c r="G18" s="3" t="s">
        <v>101</v>
      </c>
      <c r="H18" s="3" t="s">
        <v>47</v>
      </c>
      <c r="I18" s="3" t="s">
        <v>53</v>
      </c>
      <c r="J18" s="3" t="s">
        <v>74</v>
      </c>
      <c r="K18" s="3" t="s">
        <v>74</v>
      </c>
      <c r="L18" s="3" t="s">
        <v>74</v>
      </c>
      <c r="M18" s="3" t="s">
        <v>74</v>
      </c>
      <c r="N18" s="3" t="s">
        <v>74</v>
      </c>
      <c r="O18" s="3" t="s">
        <v>74</v>
      </c>
      <c r="P18" s="3" t="s">
        <v>49</v>
      </c>
      <c r="Q18" s="3" t="s">
        <v>107</v>
      </c>
      <c r="R18" s="3" t="s">
        <v>53</v>
      </c>
      <c r="S18" s="3" t="s">
        <v>77</v>
      </c>
      <c r="T18" s="3" t="s">
        <v>53</v>
      </c>
      <c r="U18" s="3" t="s">
        <v>47</v>
      </c>
      <c r="V18" s="4" t="s">
        <v>108</v>
      </c>
      <c r="W18" s="302">
        <f>'Andrae data'!L6</f>
        <v>2.17</v>
      </c>
      <c r="X18" s="78"/>
      <c r="Y18" s="78"/>
      <c r="Z18" s="2"/>
      <c r="AA18" s="2"/>
      <c r="AB18" s="2"/>
      <c r="AC18" s="2"/>
      <c r="AD18" s="2"/>
      <c r="AE18" s="2"/>
      <c r="AF18" s="2"/>
      <c r="AG18" s="2"/>
    </row>
    <row r="19" spans="1:33" s="34" customFormat="1" ht="94.5" x14ac:dyDescent="0.25">
      <c r="A19" s="2"/>
      <c r="B19" s="6" t="s">
        <v>109</v>
      </c>
      <c r="C19" s="21" t="s">
        <v>99</v>
      </c>
      <c r="D19" s="7">
        <v>2017</v>
      </c>
      <c r="E19" s="352" t="s">
        <v>110</v>
      </c>
      <c r="F19" s="91" t="s">
        <v>45</v>
      </c>
      <c r="G19" s="7" t="s">
        <v>46</v>
      </c>
      <c r="H19" s="7" t="s">
        <v>74</v>
      </c>
      <c r="I19" s="7" t="s">
        <v>74</v>
      </c>
      <c r="J19" s="7" t="s">
        <v>74</v>
      </c>
      <c r="K19" s="7" t="s">
        <v>74</v>
      </c>
      <c r="L19" s="7" t="s">
        <v>74</v>
      </c>
      <c r="M19" s="7" t="s">
        <v>74</v>
      </c>
      <c r="N19" s="7" t="s">
        <v>74</v>
      </c>
      <c r="O19" s="7" t="s">
        <v>111</v>
      </c>
      <c r="P19" s="7" t="s">
        <v>49</v>
      </c>
      <c r="Q19" s="3" t="s">
        <v>112</v>
      </c>
      <c r="R19" s="7" t="s">
        <v>113</v>
      </c>
      <c r="S19" s="7" t="s">
        <v>72</v>
      </c>
      <c r="T19" s="7" t="s">
        <v>53</v>
      </c>
      <c r="U19" s="7" t="s">
        <v>47</v>
      </c>
      <c r="V19" s="5" t="s">
        <v>114</v>
      </c>
      <c r="W19" s="303">
        <f>'Andrae data'!T6</f>
        <v>2.1619999999999999</v>
      </c>
      <c r="X19" s="79"/>
      <c r="Y19" s="79"/>
      <c r="Z19" s="6"/>
      <c r="AA19" s="6"/>
      <c r="AB19" s="6"/>
      <c r="AC19" s="6"/>
      <c r="AD19" s="6"/>
      <c r="AE19" s="6"/>
      <c r="AF19" s="6"/>
      <c r="AG19" s="6"/>
    </row>
    <row r="20" spans="1:33" s="34" customFormat="1" ht="47.25" x14ac:dyDescent="0.25">
      <c r="A20" s="2"/>
      <c r="B20" s="6" t="s">
        <v>115</v>
      </c>
      <c r="C20" s="21" t="s">
        <v>116</v>
      </c>
      <c r="D20" s="7">
        <v>2016</v>
      </c>
      <c r="E20" s="81" t="s">
        <v>117</v>
      </c>
      <c r="F20" s="91" t="s">
        <v>45</v>
      </c>
      <c r="G20" s="7" t="s">
        <v>46</v>
      </c>
      <c r="H20" s="7" t="s">
        <v>47</v>
      </c>
      <c r="I20" s="7" t="s">
        <v>47</v>
      </c>
      <c r="J20" s="7" t="s">
        <v>74</v>
      </c>
      <c r="K20" s="7" t="s">
        <v>74</v>
      </c>
      <c r="L20" s="7" t="s">
        <v>47</v>
      </c>
      <c r="M20" s="7" t="s">
        <v>47</v>
      </c>
      <c r="N20" s="7" t="s">
        <v>47</v>
      </c>
      <c r="O20" s="7" t="s">
        <v>74</v>
      </c>
      <c r="P20" s="7" t="s">
        <v>118</v>
      </c>
      <c r="Q20" s="7" t="s">
        <v>74</v>
      </c>
      <c r="R20" s="7" t="s">
        <v>72</v>
      </c>
      <c r="S20" s="7" t="s">
        <v>113</v>
      </c>
      <c r="T20" s="7" t="s">
        <v>53</v>
      </c>
      <c r="U20" s="7" t="s">
        <v>47</v>
      </c>
      <c r="V20" s="5" t="s">
        <v>119</v>
      </c>
      <c r="W20" s="303">
        <f>'Ercan data'!I6</f>
        <v>3.5</v>
      </c>
      <c r="X20" s="79"/>
      <c r="Y20" s="79"/>
      <c r="Z20" s="6"/>
      <c r="AA20" s="6"/>
      <c r="AB20" s="6"/>
      <c r="AC20" s="6"/>
      <c r="AD20" s="6"/>
      <c r="AE20" s="6"/>
      <c r="AF20" s="6"/>
      <c r="AG20" s="6"/>
    </row>
    <row r="21" spans="1:33" s="34" customFormat="1" ht="31.5" x14ac:dyDescent="0.25">
      <c r="A21" s="2"/>
      <c r="B21" s="6" t="s">
        <v>115</v>
      </c>
      <c r="C21" s="21" t="s">
        <v>116</v>
      </c>
      <c r="D21" s="7">
        <v>2016</v>
      </c>
      <c r="E21" s="81" t="s">
        <v>117</v>
      </c>
      <c r="F21" s="91" t="s">
        <v>45</v>
      </c>
      <c r="G21" s="7" t="s">
        <v>46</v>
      </c>
      <c r="H21" s="7" t="s">
        <v>47</v>
      </c>
      <c r="I21" s="7" t="s">
        <v>47</v>
      </c>
      <c r="J21" s="7" t="s">
        <v>74</v>
      </c>
      <c r="K21" s="7" t="s">
        <v>74</v>
      </c>
      <c r="L21" s="7" t="s">
        <v>47</v>
      </c>
      <c r="M21" s="7" t="s">
        <v>47</v>
      </c>
      <c r="N21" s="7" t="s">
        <v>47</v>
      </c>
      <c r="O21" s="7" t="s">
        <v>74</v>
      </c>
      <c r="P21" s="7" t="s">
        <v>118</v>
      </c>
      <c r="Q21" s="7" t="s">
        <v>74</v>
      </c>
      <c r="R21" s="7" t="s">
        <v>72</v>
      </c>
      <c r="S21" s="7" t="s">
        <v>113</v>
      </c>
      <c r="T21" s="7" t="s">
        <v>53</v>
      </c>
      <c r="U21" s="7" t="s">
        <v>47</v>
      </c>
      <c r="V21" s="5" t="s">
        <v>120</v>
      </c>
      <c r="W21" s="303">
        <f>'Ercan data'!I7</f>
        <v>4</v>
      </c>
      <c r="X21" s="79"/>
      <c r="Y21" s="79"/>
      <c r="Z21" s="6"/>
      <c r="AA21" s="6"/>
      <c r="AB21" s="6"/>
      <c r="AC21" s="6"/>
      <c r="AD21" s="6"/>
      <c r="AE21" s="6"/>
      <c r="AF21" s="6"/>
      <c r="AG21" s="6"/>
    </row>
    <row r="22" spans="1:33" s="34" customFormat="1" ht="173.25" x14ac:dyDescent="0.25">
      <c r="A22" s="2"/>
      <c r="B22" s="71" t="s">
        <v>121</v>
      </c>
      <c r="C22" s="91" t="s">
        <v>122</v>
      </c>
      <c r="D22" s="7">
        <v>2012</v>
      </c>
      <c r="E22" s="81" t="s">
        <v>123</v>
      </c>
      <c r="F22" s="91" t="s">
        <v>45</v>
      </c>
      <c r="G22" s="7" t="s">
        <v>46</v>
      </c>
      <c r="H22" s="7" t="s">
        <v>47</v>
      </c>
      <c r="I22" s="7" t="s">
        <v>124</v>
      </c>
      <c r="J22" s="7" t="s">
        <v>74</v>
      </c>
      <c r="K22" s="7">
        <v>300</v>
      </c>
      <c r="L22" s="7" t="s">
        <v>77</v>
      </c>
      <c r="M22" s="7" t="s">
        <v>47</v>
      </c>
      <c r="N22" s="7" t="s">
        <v>73</v>
      </c>
      <c r="O22" s="3" t="s">
        <v>125</v>
      </c>
      <c r="P22" s="7" t="s">
        <v>49</v>
      </c>
      <c r="Q22" s="7" t="s">
        <v>61</v>
      </c>
      <c r="R22" s="7" t="s">
        <v>113</v>
      </c>
      <c r="S22" s="7" t="s">
        <v>72</v>
      </c>
      <c r="T22" s="7" t="s">
        <v>47</v>
      </c>
      <c r="U22" s="7" t="s">
        <v>47</v>
      </c>
      <c r="V22" s="5" t="s">
        <v>126</v>
      </c>
      <c r="W22" s="303">
        <f>'Schmidt data'!D5</f>
        <v>2.1</v>
      </c>
      <c r="X22" s="79"/>
      <c r="Y22" s="79"/>
      <c r="Z22" s="6"/>
      <c r="AA22" s="6"/>
      <c r="AB22" s="6"/>
      <c r="AC22" s="6"/>
      <c r="AD22" s="6"/>
      <c r="AE22" s="6"/>
      <c r="AF22" s="6"/>
      <c r="AG22" s="6"/>
    </row>
    <row r="23" spans="1:33" s="34" customFormat="1" ht="63" x14ac:dyDescent="0.25">
      <c r="A23" s="2"/>
      <c r="B23" s="6" t="s">
        <v>127</v>
      </c>
      <c r="C23" s="21" t="s">
        <v>128</v>
      </c>
      <c r="D23" s="7">
        <v>2013</v>
      </c>
      <c r="E23" s="353" t="s">
        <v>129</v>
      </c>
      <c r="F23" s="91" t="s">
        <v>45</v>
      </c>
      <c r="G23" s="7" t="s">
        <v>46</v>
      </c>
      <c r="H23" s="7" t="s">
        <v>47</v>
      </c>
      <c r="I23" s="7" t="s">
        <v>77</v>
      </c>
      <c r="J23" s="7">
        <v>130</v>
      </c>
      <c r="K23" s="7" t="s">
        <v>74</v>
      </c>
      <c r="L23" s="7" t="s">
        <v>74</v>
      </c>
      <c r="M23" s="7" t="s">
        <v>74</v>
      </c>
      <c r="N23" s="7" t="s">
        <v>74</v>
      </c>
      <c r="O23" s="7" t="s">
        <v>74</v>
      </c>
      <c r="P23" s="7" t="s">
        <v>49</v>
      </c>
      <c r="Q23" s="7" t="s">
        <v>50</v>
      </c>
      <c r="R23" s="7" t="s">
        <v>53</v>
      </c>
      <c r="S23" s="7" t="s">
        <v>72</v>
      </c>
      <c r="T23" s="7" t="s">
        <v>53</v>
      </c>
      <c r="U23" s="7" t="s">
        <v>53</v>
      </c>
      <c r="V23" s="5" t="s">
        <v>130</v>
      </c>
      <c r="W23" s="303">
        <f>'Bol data'!C9</f>
        <v>1.8863636363636362</v>
      </c>
      <c r="X23" s="79"/>
      <c r="Y23" s="80"/>
      <c r="AB23" s="39"/>
      <c r="AC23" s="39"/>
      <c r="AD23" s="39"/>
      <c r="AE23" s="39"/>
      <c r="AF23" s="39"/>
      <c r="AG23" s="39"/>
    </row>
    <row r="24" spans="1:33" s="34" customFormat="1" ht="63" x14ac:dyDescent="0.25">
      <c r="A24" s="2"/>
      <c r="B24" s="6" t="s">
        <v>127</v>
      </c>
      <c r="C24" s="21" t="s">
        <v>128</v>
      </c>
      <c r="D24" s="7">
        <v>2013</v>
      </c>
      <c r="E24" s="353" t="s">
        <v>131</v>
      </c>
      <c r="F24" s="91" t="s">
        <v>45</v>
      </c>
      <c r="G24" s="7" t="s">
        <v>46</v>
      </c>
      <c r="H24" s="7" t="s">
        <v>47</v>
      </c>
      <c r="I24" s="7" t="s">
        <v>77</v>
      </c>
      <c r="J24" s="7">
        <v>65</v>
      </c>
      <c r="K24" s="7" t="s">
        <v>74</v>
      </c>
      <c r="L24" s="7" t="s">
        <v>74</v>
      </c>
      <c r="M24" s="7" t="s">
        <v>74</v>
      </c>
      <c r="N24" s="7" t="s">
        <v>74</v>
      </c>
      <c r="O24" s="7" t="s">
        <v>74</v>
      </c>
      <c r="P24" s="7" t="s">
        <v>49</v>
      </c>
      <c r="Q24" s="7" t="s">
        <v>50</v>
      </c>
      <c r="R24" s="7" t="s">
        <v>53</v>
      </c>
      <c r="S24" s="7" t="s">
        <v>72</v>
      </c>
      <c r="T24" s="7" t="s">
        <v>53</v>
      </c>
      <c r="U24" s="7" t="s">
        <v>53</v>
      </c>
      <c r="V24" s="5" t="s">
        <v>132</v>
      </c>
      <c r="W24" s="303">
        <f>'Bol data'!D9</f>
        <v>1.1032863849765258</v>
      </c>
      <c r="X24" s="6"/>
      <c r="Y24" s="80"/>
      <c r="Z24" s="39"/>
      <c r="AA24" s="39"/>
      <c r="AB24" s="39"/>
      <c r="AC24" s="39"/>
      <c r="AD24" s="39"/>
      <c r="AE24" s="39"/>
      <c r="AF24" s="39"/>
      <c r="AG24" s="39"/>
    </row>
    <row r="25" spans="1:33" s="34" customFormat="1" ht="63" x14ac:dyDescent="0.25">
      <c r="A25" s="2"/>
      <c r="B25" s="6" t="s">
        <v>127</v>
      </c>
      <c r="C25" s="21" t="s">
        <v>128</v>
      </c>
      <c r="D25" s="7">
        <v>2013</v>
      </c>
      <c r="E25" s="353" t="s">
        <v>133</v>
      </c>
      <c r="F25" s="91" t="s">
        <v>45</v>
      </c>
      <c r="G25" s="7" t="s">
        <v>46</v>
      </c>
      <c r="H25" s="7" t="s">
        <v>47</v>
      </c>
      <c r="I25" s="7" t="s">
        <v>77</v>
      </c>
      <c r="J25" s="7">
        <v>65</v>
      </c>
      <c r="K25" s="7" t="s">
        <v>74</v>
      </c>
      <c r="L25" s="7" t="s">
        <v>74</v>
      </c>
      <c r="M25" s="7" t="s">
        <v>74</v>
      </c>
      <c r="N25" s="7" t="s">
        <v>74</v>
      </c>
      <c r="O25" s="7" t="s">
        <v>74</v>
      </c>
      <c r="P25" s="7" t="s">
        <v>49</v>
      </c>
      <c r="Q25" s="7" t="s">
        <v>50</v>
      </c>
      <c r="R25" s="7" t="s">
        <v>53</v>
      </c>
      <c r="S25" s="7" t="s">
        <v>72</v>
      </c>
      <c r="T25" s="7" t="s">
        <v>53</v>
      </c>
      <c r="U25" s="7" t="s">
        <v>53</v>
      </c>
      <c r="V25" s="5" t="s">
        <v>134</v>
      </c>
      <c r="W25" s="303">
        <f>'Bol data'!E9</f>
        <v>2.1212121212121211</v>
      </c>
      <c r="X25" s="6"/>
      <c r="Y25" s="80"/>
      <c r="Z25" s="39"/>
      <c r="AA25" s="39"/>
      <c r="AB25" s="39"/>
      <c r="AC25" s="39"/>
      <c r="AD25" s="39"/>
      <c r="AE25" s="39"/>
      <c r="AF25" s="39"/>
      <c r="AG25" s="39"/>
    </row>
    <row r="26" spans="1:33" s="34" customFormat="1" ht="78.75" x14ac:dyDescent="0.25">
      <c r="A26" s="2"/>
      <c r="B26" s="2" t="s">
        <v>135</v>
      </c>
      <c r="C26" s="21" t="s">
        <v>136</v>
      </c>
      <c r="D26" s="3">
        <v>2013</v>
      </c>
      <c r="E26" s="81" t="s">
        <v>137</v>
      </c>
      <c r="F26" s="91" t="s">
        <v>45</v>
      </c>
      <c r="G26" s="3" t="s">
        <v>101</v>
      </c>
      <c r="H26" s="3" t="s">
        <v>74</v>
      </c>
      <c r="I26" s="3" t="s">
        <v>74</v>
      </c>
      <c r="J26" s="3" t="str">
        <f>'Jones data'!I6</f>
        <v>NA</v>
      </c>
      <c r="K26" s="3" t="s">
        <v>74</v>
      </c>
      <c r="L26" s="3" t="s">
        <v>74</v>
      </c>
      <c r="M26" s="3" t="s">
        <v>74</v>
      </c>
      <c r="N26" s="3" t="s">
        <v>74</v>
      </c>
      <c r="O26" s="3" t="s">
        <v>74</v>
      </c>
      <c r="P26" s="3" t="s">
        <v>118</v>
      </c>
      <c r="Q26" s="3" t="s">
        <v>56</v>
      </c>
      <c r="R26" s="3" t="s">
        <v>113</v>
      </c>
      <c r="S26" s="3" t="s">
        <v>72</v>
      </c>
      <c r="T26" s="3" t="s">
        <v>53</v>
      </c>
      <c r="U26" s="3" t="s">
        <v>47</v>
      </c>
      <c r="V26" s="4" t="s">
        <v>138</v>
      </c>
      <c r="W26" s="302">
        <f>'Jones data'!J6</f>
        <v>3.57</v>
      </c>
      <c r="X26" s="78"/>
      <c r="Y26" s="78"/>
      <c r="Z26" s="2"/>
      <c r="AA26" s="2"/>
      <c r="AB26" s="2"/>
      <c r="AC26" s="2"/>
      <c r="AD26" s="2"/>
      <c r="AE26" s="2"/>
      <c r="AF26" s="2"/>
      <c r="AG26" s="2"/>
    </row>
    <row r="27" spans="1:33" s="34" customFormat="1" ht="78.75" x14ac:dyDescent="0.25">
      <c r="A27" s="6"/>
      <c r="B27" s="2" t="s">
        <v>135</v>
      </c>
      <c r="C27" s="21" t="s">
        <v>136</v>
      </c>
      <c r="D27" s="3">
        <v>2013</v>
      </c>
      <c r="E27" s="81" t="s">
        <v>137</v>
      </c>
      <c r="F27" s="91" t="s">
        <v>45</v>
      </c>
      <c r="G27" s="3" t="s">
        <v>101</v>
      </c>
      <c r="H27" s="3" t="s">
        <v>74</v>
      </c>
      <c r="I27" s="3" t="s">
        <v>74</v>
      </c>
      <c r="J27" s="3" t="str">
        <f>'Jones data'!I7</f>
        <v>NA</v>
      </c>
      <c r="K27" s="3" t="s">
        <v>74</v>
      </c>
      <c r="L27" s="3" t="s">
        <v>74</v>
      </c>
      <c r="M27" s="3" t="s">
        <v>74</v>
      </c>
      <c r="N27" s="3" t="s">
        <v>74</v>
      </c>
      <c r="O27" s="3" t="s">
        <v>74</v>
      </c>
      <c r="P27" s="3" t="s">
        <v>118</v>
      </c>
      <c r="Q27" s="3" t="s">
        <v>56</v>
      </c>
      <c r="R27" s="3" t="s">
        <v>113</v>
      </c>
      <c r="S27" s="3" t="s">
        <v>72</v>
      </c>
      <c r="T27" s="3" t="s">
        <v>53</v>
      </c>
      <c r="U27" s="3" t="s">
        <v>47</v>
      </c>
      <c r="V27" s="4" t="s">
        <v>138</v>
      </c>
      <c r="W27" s="302">
        <f>'Jones data'!J7</f>
        <v>5.41</v>
      </c>
      <c r="X27" s="78"/>
      <c r="Y27" s="78"/>
      <c r="Z27" s="2"/>
      <c r="AA27" s="2"/>
      <c r="AB27" s="2"/>
      <c r="AC27" s="2"/>
      <c r="AD27" s="2"/>
      <c r="AE27" s="2"/>
      <c r="AF27" s="2"/>
      <c r="AG27" s="2"/>
    </row>
    <row r="28" spans="1:33" s="34" customFormat="1" ht="78.75" x14ac:dyDescent="0.25">
      <c r="A28" s="6"/>
      <c r="B28" s="2" t="s">
        <v>135</v>
      </c>
      <c r="C28" s="21" t="s">
        <v>136</v>
      </c>
      <c r="D28" s="3">
        <v>2013</v>
      </c>
      <c r="E28" s="81" t="s">
        <v>137</v>
      </c>
      <c r="F28" s="91" t="s">
        <v>45</v>
      </c>
      <c r="G28" s="3" t="s">
        <v>101</v>
      </c>
      <c r="H28" s="3" t="s">
        <v>74</v>
      </c>
      <c r="I28" s="3" t="s">
        <v>74</v>
      </c>
      <c r="J28" s="3">
        <f>'Jones data'!I8</f>
        <v>350</v>
      </c>
      <c r="K28" s="3" t="s">
        <v>74</v>
      </c>
      <c r="L28" s="3" t="s">
        <v>74</v>
      </c>
      <c r="M28" s="3" t="s">
        <v>74</v>
      </c>
      <c r="N28" s="3" t="s">
        <v>74</v>
      </c>
      <c r="O28" s="3" t="s">
        <v>74</v>
      </c>
      <c r="P28" s="3" t="s">
        <v>118</v>
      </c>
      <c r="Q28" s="3" t="s">
        <v>56</v>
      </c>
      <c r="R28" s="3" t="s">
        <v>113</v>
      </c>
      <c r="S28" s="3" t="s">
        <v>72</v>
      </c>
      <c r="T28" s="3" t="s">
        <v>53</v>
      </c>
      <c r="U28" s="3" t="s">
        <v>47</v>
      </c>
      <c r="V28" s="4" t="s">
        <v>138</v>
      </c>
      <c r="W28" s="302">
        <f>'Jones data'!J8</f>
        <v>6.6</v>
      </c>
      <c r="X28" s="78"/>
      <c r="Y28" s="78"/>
      <c r="Z28" s="2"/>
      <c r="AA28" s="2"/>
      <c r="AB28" s="2"/>
      <c r="AC28" s="2"/>
      <c r="AD28" s="2"/>
      <c r="AE28" s="2"/>
      <c r="AF28" s="2"/>
      <c r="AG28" s="2"/>
    </row>
    <row r="29" spans="1:33" s="34" customFormat="1" ht="78.75" x14ac:dyDescent="0.25">
      <c r="A29" s="6"/>
      <c r="B29" s="2" t="s">
        <v>135</v>
      </c>
      <c r="C29" s="21" t="s">
        <v>136</v>
      </c>
      <c r="D29" s="3">
        <v>2013</v>
      </c>
      <c r="E29" s="81" t="s">
        <v>137</v>
      </c>
      <c r="F29" s="91" t="s">
        <v>45</v>
      </c>
      <c r="G29" s="3" t="s">
        <v>101</v>
      </c>
      <c r="H29" s="3" t="s">
        <v>74</v>
      </c>
      <c r="I29" s="3" t="s">
        <v>74</v>
      </c>
      <c r="J29" s="3">
        <f>'Jones data'!I9</f>
        <v>250</v>
      </c>
      <c r="K29" s="3" t="s">
        <v>74</v>
      </c>
      <c r="L29" s="3" t="s">
        <v>74</v>
      </c>
      <c r="M29" s="3" t="s">
        <v>74</v>
      </c>
      <c r="N29" s="3" t="s">
        <v>74</v>
      </c>
      <c r="O29" s="3" t="s">
        <v>74</v>
      </c>
      <c r="P29" s="3" t="s">
        <v>118</v>
      </c>
      <c r="Q29" s="3" t="s">
        <v>56</v>
      </c>
      <c r="R29" s="3" t="s">
        <v>113</v>
      </c>
      <c r="S29" s="3" t="s">
        <v>72</v>
      </c>
      <c r="T29" s="3" t="s">
        <v>53</v>
      </c>
      <c r="U29" s="3" t="s">
        <v>47</v>
      </c>
      <c r="V29" s="4" t="s">
        <v>138</v>
      </c>
      <c r="W29" s="302">
        <f>'Jones data'!J9</f>
        <v>4.7</v>
      </c>
      <c r="X29" s="78"/>
      <c r="Y29" s="78"/>
      <c r="Z29" s="2"/>
      <c r="AA29" s="2"/>
      <c r="AB29" s="2"/>
      <c r="AC29" s="2"/>
      <c r="AD29" s="2"/>
      <c r="AE29" s="2"/>
      <c r="AF29" s="2"/>
      <c r="AG29" s="2"/>
    </row>
    <row r="30" spans="1:33" s="34" customFormat="1" ht="78.75" x14ac:dyDescent="0.25">
      <c r="A30" s="6"/>
      <c r="B30" s="2" t="s">
        <v>135</v>
      </c>
      <c r="C30" s="21" t="s">
        <v>136</v>
      </c>
      <c r="D30" s="3">
        <v>2013</v>
      </c>
      <c r="E30" s="81" t="s">
        <v>137</v>
      </c>
      <c r="F30" s="91" t="s">
        <v>45</v>
      </c>
      <c r="G30" s="3" t="s">
        <v>101</v>
      </c>
      <c r="H30" s="3" t="s">
        <v>74</v>
      </c>
      <c r="I30" s="3" t="s">
        <v>74</v>
      </c>
      <c r="J30" s="3">
        <f>'Jones data'!I10</f>
        <v>180</v>
      </c>
      <c r="K30" s="3" t="s">
        <v>74</v>
      </c>
      <c r="L30" s="3" t="s">
        <v>74</v>
      </c>
      <c r="M30" s="3" t="s">
        <v>74</v>
      </c>
      <c r="N30" s="3" t="s">
        <v>74</v>
      </c>
      <c r="O30" s="3" t="s">
        <v>74</v>
      </c>
      <c r="P30" s="3" t="s">
        <v>118</v>
      </c>
      <c r="Q30" s="3" t="s">
        <v>56</v>
      </c>
      <c r="R30" s="3" t="s">
        <v>113</v>
      </c>
      <c r="S30" s="3" t="s">
        <v>72</v>
      </c>
      <c r="T30" s="3" t="s">
        <v>53</v>
      </c>
      <c r="U30" s="3" t="s">
        <v>47</v>
      </c>
      <c r="V30" s="4" t="s">
        <v>138</v>
      </c>
      <c r="W30" s="302">
        <f>'Jones data'!J10</f>
        <v>4.8</v>
      </c>
      <c r="X30" s="78"/>
      <c r="Y30" s="78"/>
      <c r="Z30" s="2"/>
      <c r="AA30" s="2"/>
      <c r="AB30" s="2"/>
      <c r="AC30" s="2"/>
      <c r="AD30" s="2"/>
      <c r="AE30" s="2"/>
      <c r="AF30" s="2"/>
      <c r="AG30" s="2"/>
    </row>
    <row r="31" spans="1:33" s="34" customFormat="1" ht="78.75" x14ac:dyDescent="0.25">
      <c r="A31" s="6"/>
      <c r="B31" s="2" t="s">
        <v>135</v>
      </c>
      <c r="C31" s="21" t="s">
        <v>136</v>
      </c>
      <c r="D31" s="3">
        <v>2013</v>
      </c>
      <c r="E31" s="81" t="s">
        <v>137</v>
      </c>
      <c r="F31" s="91" t="s">
        <v>45</v>
      </c>
      <c r="G31" s="3" t="s">
        <v>101</v>
      </c>
      <c r="H31" s="3" t="s">
        <v>74</v>
      </c>
      <c r="I31" s="3" t="s">
        <v>74</v>
      </c>
      <c r="J31" s="3">
        <f>'Jones data'!I11</f>
        <v>130</v>
      </c>
      <c r="K31" s="3" t="s">
        <v>74</v>
      </c>
      <c r="L31" s="3" t="s">
        <v>74</v>
      </c>
      <c r="M31" s="3" t="s">
        <v>74</v>
      </c>
      <c r="N31" s="3" t="s">
        <v>74</v>
      </c>
      <c r="O31" s="3" t="s">
        <v>74</v>
      </c>
      <c r="P31" s="3" t="s">
        <v>118</v>
      </c>
      <c r="Q31" s="3" t="s">
        <v>56</v>
      </c>
      <c r="R31" s="3" t="s">
        <v>113</v>
      </c>
      <c r="S31" s="3" t="s">
        <v>72</v>
      </c>
      <c r="T31" s="3" t="s">
        <v>53</v>
      </c>
      <c r="U31" s="3" t="s">
        <v>47</v>
      </c>
      <c r="V31" s="4" t="s">
        <v>138</v>
      </c>
      <c r="W31" s="302">
        <f>'Jones data'!J11</f>
        <v>3.6</v>
      </c>
      <c r="X31" s="78"/>
      <c r="Y31" s="78"/>
      <c r="Z31" s="2"/>
      <c r="AA31" s="2"/>
      <c r="AB31" s="2"/>
      <c r="AC31" s="2"/>
      <c r="AD31" s="2"/>
      <c r="AE31" s="2"/>
      <c r="AF31" s="2"/>
      <c r="AG31" s="2"/>
    </row>
    <row r="32" spans="1:33" s="34" customFormat="1" ht="78.75" x14ac:dyDescent="0.25">
      <c r="A32" s="6"/>
      <c r="B32" s="2" t="s">
        <v>135</v>
      </c>
      <c r="C32" s="21" t="s">
        <v>136</v>
      </c>
      <c r="D32" s="3">
        <v>2013</v>
      </c>
      <c r="E32" s="81" t="s">
        <v>137</v>
      </c>
      <c r="F32" s="91" t="s">
        <v>45</v>
      </c>
      <c r="G32" s="3" t="s">
        <v>101</v>
      </c>
      <c r="H32" s="3" t="s">
        <v>74</v>
      </c>
      <c r="I32" s="3" t="s">
        <v>74</v>
      </c>
      <c r="J32" s="3">
        <f>'Jones data'!I12</f>
        <v>90</v>
      </c>
      <c r="K32" s="3" t="s">
        <v>74</v>
      </c>
      <c r="L32" s="3" t="s">
        <v>74</v>
      </c>
      <c r="M32" s="3" t="s">
        <v>74</v>
      </c>
      <c r="N32" s="3" t="s">
        <v>74</v>
      </c>
      <c r="O32" s="3" t="s">
        <v>74</v>
      </c>
      <c r="P32" s="3" t="s">
        <v>118</v>
      </c>
      <c r="Q32" s="3" t="s">
        <v>56</v>
      </c>
      <c r="R32" s="3" t="s">
        <v>113</v>
      </c>
      <c r="S32" s="3" t="s">
        <v>72</v>
      </c>
      <c r="T32" s="3" t="s">
        <v>53</v>
      </c>
      <c r="U32" s="3" t="s">
        <v>47</v>
      </c>
      <c r="V32" s="4" t="s">
        <v>138</v>
      </c>
      <c r="W32" s="302">
        <f>'Jones data'!J12</f>
        <v>4.3</v>
      </c>
      <c r="X32" s="78"/>
      <c r="Y32" s="78"/>
      <c r="Z32" s="2"/>
      <c r="AA32" s="2"/>
      <c r="AB32" s="2"/>
      <c r="AC32" s="2"/>
      <c r="AD32" s="2"/>
      <c r="AE32" s="2"/>
      <c r="AF32" s="2"/>
      <c r="AG32" s="2"/>
    </row>
    <row r="33" spans="1:33" s="34" customFormat="1" ht="78.75" x14ac:dyDescent="0.25">
      <c r="A33" s="6"/>
      <c r="B33" s="2" t="s">
        <v>135</v>
      </c>
      <c r="C33" s="21" t="s">
        <v>136</v>
      </c>
      <c r="D33" s="3">
        <v>2013</v>
      </c>
      <c r="E33" s="81" t="s">
        <v>137</v>
      </c>
      <c r="F33" s="91" t="s">
        <v>45</v>
      </c>
      <c r="G33" s="3" t="s">
        <v>101</v>
      </c>
      <c r="H33" s="3" t="s">
        <v>74</v>
      </c>
      <c r="I33" s="3" t="s">
        <v>74</v>
      </c>
      <c r="J33" s="3">
        <f>'Jones data'!I13</f>
        <v>65</v>
      </c>
      <c r="K33" s="3" t="s">
        <v>74</v>
      </c>
      <c r="L33" s="3" t="s">
        <v>74</v>
      </c>
      <c r="M33" s="3" t="s">
        <v>74</v>
      </c>
      <c r="N33" s="3" t="s">
        <v>74</v>
      </c>
      <c r="O33" s="3" t="s">
        <v>74</v>
      </c>
      <c r="P33" s="3" t="s">
        <v>118</v>
      </c>
      <c r="Q33" s="3" t="s">
        <v>56</v>
      </c>
      <c r="R33" s="3" t="s">
        <v>113</v>
      </c>
      <c r="S33" s="3" t="s">
        <v>72</v>
      </c>
      <c r="T33" s="3" t="s">
        <v>53</v>
      </c>
      <c r="U33" s="3" t="s">
        <v>47</v>
      </c>
      <c r="V33" s="4" t="s">
        <v>138</v>
      </c>
      <c r="W33" s="302">
        <f>'Jones data'!J13</f>
        <v>4.3</v>
      </c>
      <c r="X33" s="78"/>
      <c r="Y33" s="78"/>
      <c r="Z33" s="2"/>
      <c r="AA33" s="2"/>
      <c r="AB33" s="2"/>
      <c r="AC33" s="2"/>
      <c r="AD33" s="2"/>
      <c r="AE33" s="2"/>
      <c r="AF33" s="2"/>
      <c r="AG33" s="2"/>
    </row>
    <row r="34" spans="1:33" s="34" customFormat="1" ht="78.75" x14ac:dyDescent="0.25">
      <c r="A34" s="6"/>
      <c r="B34" s="2" t="s">
        <v>135</v>
      </c>
      <c r="C34" s="21" t="s">
        <v>136</v>
      </c>
      <c r="D34" s="3">
        <v>2013</v>
      </c>
      <c r="E34" s="81" t="s">
        <v>137</v>
      </c>
      <c r="F34" s="91" t="s">
        <v>45</v>
      </c>
      <c r="G34" s="3" t="s">
        <v>101</v>
      </c>
      <c r="H34" s="3" t="s">
        <v>74</v>
      </c>
      <c r="I34" s="3" t="s">
        <v>74</v>
      </c>
      <c r="J34" s="3">
        <f>'Jones data'!I14</f>
        <v>45</v>
      </c>
      <c r="K34" s="3" t="s">
        <v>74</v>
      </c>
      <c r="L34" s="3" t="s">
        <v>74</v>
      </c>
      <c r="M34" s="3" t="s">
        <v>74</v>
      </c>
      <c r="N34" s="3" t="s">
        <v>74</v>
      </c>
      <c r="O34" s="3" t="s">
        <v>74</v>
      </c>
      <c r="P34" s="3" t="s">
        <v>118</v>
      </c>
      <c r="Q34" s="3" t="s">
        <v>56</v>
      </c>
      <c r="R34" s="3" t="s">
        <v>113</v>
      </c>
      <c r="S34" s="3" t="s">
        <v>72</v>
      </c>
      <c r="T34" s="3" t="s">
        <v>53</v>
      </c>
      <c r="U34" s="3" t="s">
        <v>47</v>
      </c>
      <c r="V34" s="4" t="s">
        <v>138</v>
      </c>
      <c r="W34" s="302">
        <f>'Jones data'!J14</f>
        <v>5.4</v>
      </c>
      <c r="X34" s="78"/>
      <c r="Y34" s="78"/>
      <c r="Z34" s="2"/>
      <c r="AA34" s="2"/>
      <c r="AB34" s="2"/>
      <c r="AC34" s="2"/>
      <c r="AD34" s="2"/>
      <c r="AE34" s="2"/>
      <c r="AF34" s="2"/>
      <c r="AG34" s="2"/>
    </row>
    <row r="35" spans="1:33" s="34" customFormat="1" ht="63" x14ac:dyDescent="0.25">
      <c r="A35" s="6"/>
      <c r="B35" s="2" t="s">
        <v>139</v>
      </c>
      <c r="C35" s="21" t="s">
        <v>140</v>
      </c>
      <c r="D35" s="3">
        <v>2020</v>
      </c>
      <c r="E35" s="81" t="s">
        <v>141</v>
      </c>
      <c r="F35" s="91" t="s">
        <v>45</v>
      </c>
      <c r="G35" s="3" t="s">
        <v>46</v>
      </c>
      <c r="H35" s="3" t="s">
        <v>73</v>
      </c>
      <c r="I35" s="3" t="s">
        <v>53</v>
      </c>
      <c r="J35" s="7">
        <v>28</v>
      </c>
      <c r="K35" s="3">
        <v>300</v>
      </c>
      <c r="L35" s="3" t="s">
        <v>53</v>
      </c>
      <c r="M35" s="3" t="s">
        <v>72</v>
      </c>
      <c r="N35" s="3" t="s">
        <v>74</v>
      </c>
      <c r="O35" s="3" t="s">
        <v>142</v>
      </c>
      <c r="P35" s="3" t="s">
        <v>88</v>
      </c>
      <c r="Q35" s="3" t="s">
        <v>50</v>
      </c>
      <c r="R35" s="3" t="s">
        <v>47</v>
      </c>
      <c r="S35" s="3" t="s">
        <v>72</v>
      </c>
      <c r="T35" s="3" t="s">
        <v>47</v>
      </c>
      <c r="U35" s="3" t="s">
        <v>47</v>
      </c>
      <c r="V35" s="4" t="s">
        <v>143</v>
      </c>
      <c r="W35" s="303">
        <f>'Bardon data'!C8</f>
        <v>0.92300000000000004</v>
      </c>
      <c r="X35" s="78"/>
      <c r="Y35" s="78"/>
      <c r="Z35" s="2"/>
      <c r="AA35" s="2"/>
      <c r="AB35" s="2"/>
      <c r="AC35" s="2"/>
      <c r="AD35" s="2"/>
      <c r="AE35" s="2"/>
      <c r="AF35" s="2"/>
      <c r="AG35" s="2"/>
    </row>
    <row r="36" spans="1:33" s="34" customFormat="1" ht="63" x14ac:dyDescent="0.25">
      <c r="A36" s="6"/>
      <c r="B36" s="2" t="s">
        <v>139</v>
      </c>
      <c r="C36" s="21" t="s">
        <v>140</v>
      </c>
      <c r="D36" s="3">
        <v>2020</v>
      </c>
      <c r="E36" s="81" t="s">
        <v>141</v>
      </c>
      <c r="F36" s="91" t="s">
        <v>45</v>
      </c>
      <c r="G36" s="3" t="s">
        <v>46</v>
      </c>
      <c r="H36" s="3" t="s">
        <v>73</v>
      </c>
      <c r="I36" s="3" t="s">
        <v>53</v>
      </c>
      <c r="J36" s="7">
        <v>20</v>
      </c>
      <c r="K36" s="3">
        <v>300</v>
      </c>
      <c r="L36" s="3" t="s">
        <v>53</v>
      </c>
      <c r="M36" s="3" t="s">
        <v>72</v>
      </c>
      <c r="N36" s="3" t="s">
        <v>74</v>
      </c>
      <c r="O36" s="3" t="s">
        <v>142</v>
      </c>
      <c r="P36" s="3" t="s">
        <v>88</v>
      </c>
      <c r="Q36" s="3" t="s">
        <v>50</v>
      </c>
      <c r="R36" s="3" t="s">
        <v>47</v>
      </c>
      <c r="S36" s="3" t="s">
        <v>72</v>
      </c>
      <c r="T36" s="3" t="s">
        <v>47</v>
      </c>
      <c r="U36" s="3" t="s">
        <v>47</v>
      </c>
      <c r="V36" s="4" t="s">
        <v>144</v>
      </c>
      <c r="W36" s="303">
        <f>'Bardon data'!D8</f>
        <v>1.0940000000000001</v>
      </c>
      <c r="X36" s="78"/>
      <c r="Y36" s="78"/>
      <c r="Z36" s="2"/>
      <c r="AA36" s="2"/>
      <c r="AB36" s="2"/>
      <c r="AC36" s="2"/>
      <c r="AD36" s="2"/>
      <c r="AE36" s="2"/>
      <c r="AF36" s="2"/>
      <c r="AG36" s="2"/>
    </row>
    <row r="37" spans="1:33" s="34" customFormat="1" ht="63" x14ac:dyDescent="0.25">
      <c r="A37" s="6"/>
      <c r="B37" s="2" t="s">
        <v>139</v>
      </c>
      <c r="C37" s="21" t="s">
        <v>140</v>
      </c>
      <c r="D37" s="3">
        <v>2020</v>
      </c>
      <c r="E37" s="81" t="s">
        <v>141</v>
      </c>
      <c r="F37" s="91" t="s">
        <v>45</v>
      </c>
      <c r="G37" s="3" t="s">
        <v>46</v>
      </c>
      <c r="H37" s="3" t="s">
        <v>73</v>
      </c>
      <c r="I37" s="3" t="s">
        <v>53</v>
      </c>
      <c r="J37" s="7">
        <v>14</v>
      </c>
      <c r="K37" s="3">
        <v>300</v>
      </c>
      <c r="L37" s="3" t="s">
        <v>53</v>
      </c>
      <c r="M37" s="3" t="s">
        <v>72</v>
      </c>
      <c r="N37" s="3" t="s">
        <v>74</v>
      </c>
      <c r="O37" s="3" t="s">
        <v>142</v>
      </c>
      <c r="P37" s="3" t="s">
        <v>88</v>
      </c>
      <c r="Q37" s="3" t="s">
        <v>50</v>
      </c>
      <c r="R37" s="3" t="s">
        <v>47</v>
      </c>
      <c r="S37" s="3" t="s">
        <v>72</v>
      </c>
      <c r="T37" s="3" t="s">
        <v>47</v>
      </c>
      <c r="U37" s="3" t="s">
        <v>47</v>
      </c>
      <c r="V37" s="4" t="s">
        <v>144</v>
      </c>
      <c r="W37" s="303">
        <f>'Bardon data'!E8</f>
        <v>1.085</v>
      </c>
      <c r="X37" s="78"/>
      <c r="Y37" s="78"/>
      <c r="Z37" s="2"/>
      <c r="AA37" s="2"/>
      <c r="AB37" s="2"/>
      <c r="AC37" s="2"/>
      <c r="AD37" s="2"/>
      <c r="AE37" s="2"/>
      <c r="AF37" s="2"/>
      <c r="AG37" s="2"/>
    </row>
    <row r="38" spans="1:33" s="34" customFormat="1" ht="63" x14ac:dyDescent="0.25">
      <c r="A38" s="6"/>
      <c r="B38" s="2" t="s">
        <v>139</v>
      </c>
      <c r="C38" s="21" t="s">
        <v>140</v>
      </c>
      <c r="D38" s="3">
        <v>2020</v>
      </c>
      <c r="E38" s="81" t="s">
        <v>141</v>
      </c>
      <c r="F38" s="91" t="s">
        <v>45</v>
      </c>
      <c r="G38" s="3" t="s">
        <v>46</v>
      </c>
      <c r="H38" s="3" t="s">
        <v>73</v>
      </c>
      <c r="I38" s="3" t="s">
        <v>53</v>
      </c>
      <c r="J38" s="7">
        <v>10</v>
      </c>
      <c r="K38" s="3">
        <v>300</v>
      </c>
      <c r="L38" s="3" t="s">
        <v>53</v>
      </c>
      <c r="M38" s="3" t="s">
        <v>72</v>
      </c>
      <c r="N38" s="3" t="s">
        <v>74</v>
      </c>
      <c r="O38" s="3" t="s">
        <v>142</v>
      </c>
      <c r="P38" s="3" t="s">
        <v>88</v>
      </c>
      <c r="Q38" s="3" t="s">
        <v>50</v>
      </c>
      <c r="R38" s="3" t="s">
        <v>47</v>
      </c>
      <c r="S38" s="3" t="s">
        <v>72</v>
      </c>
      <c r="T38" s="3" t="s">
        <v>47</v>
      </c>
      <c r="U38" s="3" t="s">
        <v>47</v>
      </c>
      <c r="V38" s="4" t="s">
        <v>144</v>
      </c>
      <c r="W38" s="303">
        <f>'Bardon data'!F8</f>
        <v>1.403</v>
      </c>
      <c r="X38" s="78"/>
      <c r="Y38" s="78"/>
      <c r="Z38" s="2"/>
      <c r="AA38" s="2"/>
      <c r="AB38" s="2"/>
      <c r="AC38" s="2"/>
      <c r="AD38" s="2"/>
      <c r="AE38" s="2"/>
      <c r="AF38" s="2"/>
      <c r="AG38" s="2"/>
    </row>
    <row r="39" spans="1:33" s="34" customFormat="1" ht="63" x14ac:dyDescent="0.25">
      <c r="A39" s="6"/>
      <c r="B39" s="2" t="s">
        <v>139</v>
      </c>
      <c r="C39" s="21" t="s">
        <v>140</v>
      </c>
      <c r="D39" s="3">
        <v>2020</v>
      </c>
      <c r="E39" s="81" t="s">
        <v>141</v>
      </c>
      <c r="F39" s="91" t="s">
        <v>45</v>
      </c>
      <c r="G39" s="3" t="s">
        <v>46</v>
      </c>
      <c r="H39" s="3" t="s">
        <v>73</v>
      </c>
      <c r="I39" s="3" t="s">
        <v>53</v>
      </c>
      <c r="J39" s="7">
        <v>8</v>
      </c>
      <c r="K39" s="3">
        <v>300</v>
      </c>
      <c r="L39" s="3" t="s">
        <v>53</v>
      </c>
      <c r="M39" s="3" t="s">
        <v>72</v>
      </c>
      <c r="N39" s="3" t="s">
        <v>74</v>
      </c>
      <c r="O39" s="3" t="s">
        <v>142</v>
      </c>
      <c r="P39" s="3" t="s">
        <v>88</v>
      </c>
      <c r="Q39" s="3" t="s">
        <v>50</v>
      </c>
      <c r="R39" s="3" t="s">
        <v>47</v>
      </c>
      <c r="S39" s="3" t="s">
        <v>72</v>
      </c>
      <c r="T39" s="3" t="s">
        <v>47</v>
      </c>
      <c r="U39" s="3" t="s">
        <v>47</v>
      </c>
      <c r="V39" s="4" t="s">
        <v>144</v>
      </c>
      <c r="W39" s="303">
        <f>'Bardon data'!G8</f>
        <v>1.5339999999999998</v>
      </c>
      <c r="X39" s="78"/>
      <c r="Y39" s="78"/>
      <c r="Z39" s="2"/>
      <c r="AA39" s="2"/>
      <c r="AB39" s="2"/>
      <c r="AC39" s="2"/>
      <c r="AD39" s="2"/>
      <c r="AE39" s="2"/>
      <c r="AF39" s="2"/>
      <c r="AG39" s="2"/>
    </row>
    <row r="40" spans="1:33" s="34" customFormat="1" ht="63" x14ac:dyDescent="0.25">
      <c r="A40" s="6"/>
      <c r="B40" s="2" t="s">
        <v>139</v>
      </c>
      <c r="C40" s="21" t="s">
        <v>140</v>
      </c>
      <c r="D40" s="3">
        <v>2020</v>
      </c>
      <c r="E40" s="81" t="s">
        <v>141</v>
      </c>
      <c r="F40" s="91" t="s">
        <v>45</v>
      </c>
      <c r="G40" s="3" t="s">
        <v>46</v>
      </c>
      <c r="H40" s="3" t="s">
        <v>73</v>
      </c>
      <c r="I40" s="3" t="s">
        <v>53</v>
      </c>
      <c r="J40" s="7">
        <v>7</v>
      </c>
      <c r="K40" s="3">
        <v>300</v>
      </c>
      <c r="L40" s="3" t="s">
        <v>53</v>
      </c>
      <c r="M40" s="3" t="s">
        <v>72</v>
      </c>
      <c r="N40" s="3" t="s">
        <v>74</v>
      </c>
      <c r="O40" s="3" t="s">
        <v>142</v>
      </c>
      <c r="P40" s="3" t="s">
        <v>88</v>
      </c>
      <c r="Q40" s="3" t="s">
        <v>50</v>
      </c>
      <c r="R40" s="3" t="s">
        <v>47</v>
      </c>
      <c r="S40" s="3" t="s">
        <v>72</v>
      </c>
      <c r="T40" s="3" t="s">
        <v>47</v>
      </c>
      <c r="U40" s="3" t="s">
        <v>47</v>
      </c>
      <c r="V40" s="4" t="s">
        <v>144</v>
      </c>
      <c r="W40" s="303">
        <f>'Bardon data'!H8</f>
        <v>1.9950000000000001</v>
      </c>
      <c r="X40" s="78"/>
      <c r="Y40" s="78"/>
      <c r="Z40" s="2"/>
      <c r="AA40" s="2"/>
      <c r="AB40" s="2"/>
      <c r="AC40" s="2"/>
      <c r="AD40" s="2"/>
      <c r="AE40" s="2"/>
      <c r="AF40" s="2"/>
      <c r="AG40" s="2"/>
    </row>
    <row r="41" spans="1:33" s="34" customFormat="1" ht="63" x14ac:dyDescent="0.25">
      <c r="A41" s="6"/>
      <c r="B41" s="2" t="s">
        <v>139</v>
      </c>
      <c r="C41" s="21" t="s">
        <v>140</v>
      </c>
      <c r="D41" s="3">
        <v>2020</v>
      </c>
      <c r="E41" s="81" t="s">
        <v>141</v>
      </c>
      <c r="F41" s="91" t="s">
        <v>45</v>
      </c>
      <c r="G41" s="3" t="s">
        <v>46</v>
      </c>
      <c r="H41" s="3" t="s">
        <v>73</v>
      </c>
      <c r="I41" s="3" t="s">
        <v>53</v>
      </c>
      <c r="J41" s="7">
        <v>6</v>
      </c>
      <c r="K41" s="3">
        <v>300</v>
      </c>
      <c r="L41" s="3" t="s">
        <v>53</v>
      </c>
      <c r="M41" s="3" t="s">
        <v>72</v>
      </c>
      <c r="N41" s="3" t="s">
        <v>74</v>
      </c>
      <c r="O41" s="3" t="s">
        <v>142</v>
      </c>
      <c r="P41" s="3" t="s">
        <v>88</v>
      </c>
      <c r="Q41" s="3" t="s">
        <v>50</v>
      </c>
      <c r="R41" s="3" t="s">
        <v>47</v>
      </c>
      <c r="S41" s="3" t="s">
        <v>72</v>
      </c>
      <c r="T41" s="3" t="s">
        <v>47</v>
      </c>
      <c r="U41" s="3" t="s">
        <v>47</v>
      </c>
      <c r="V41" s="4" t="s">
        <v>144</v>
      </c>
      <c r="W41" s="303">
        <f>'Bardon data'!H8</f>
        <v>1.9950000000000001</v>
      </c>
      <c r="X41" s="78"/>
      <c r="Y41" s="78"/>
      <c r="Z41" s="2"/>
      <c r="AA41" s="2"/>
      <c r="AB41" s="2"/>
      <c r="AC41" s="2"/>
      <c r="AD41" s="2"/>
      <c r="AE41" s="2"/>
      <c r="AF41" s="2"/>
      <c r="AG41" s="2"/>
    </row>
    <row r="42" spans="1:33" s="34" customFormat="1" ht="63" x14ac:dyDescent="0.25">
      <c r="A42" s="6"/>
      <c r="B42" s="2" t="s">
        <v>139</v>
      </c>
      <c r="C42" s="21" t="s">
        <v>140</v>
      </c>
      <c r="D42" s="3">
        <v>2020</v>
      </c>
      <c r="E42" s="81" t="s">
        <v>141</v>
      </c>
      <c r="F42" s="91" t="s">
        <v>45</v>
      </c>
      <c r="G42" s="3" t="s">
        <v>46</v>
      </c>
      <c r="H42" s="3" t="s">
        <v>73</v>
      </c>
      <c r="I42" s="3" t="s">
        <v>53</v>
      </c>
      <c r="J42" s="7">
        <v>5</v>
      </c>
      <c r="K42" s="3">
        <v>300</v>
      </c>
      <c r="L42" s="3" t="s">
        <v>53</v>
      </c>
      <c r="M42" s="3" t="s">
        <v>72</v>
      </c>
      <c r="N42" s="3" t="s">
        <v>74</v>
      </c>
      <c r="O42" s="3" t="s">
        <v>142</v>
      </c>
      <c r="P42" s="3" t="s">
        <v>88</v>
      </c>
      <c r="Q42" s="3" t="s">
        <v>50</v>
      </c>
      <c r="R42" s="3" t="s">
        <v>47</v>
      </c>
      <c r="S42" s="3" t="s">
        <v>72</v>
      </c>
      <c r="T42" s="3" t="s">
        <v>47</v>
      </c>
      <c r="U42" s="3" t="s">
        <v>47</v>
      </c>
      <c r="V42" s="4" t="s">
        <v>144</v>
      </c>
      <c r="W42" s="303">
        <f>'Bardon data'!J8</f>
        <v>2.6869999999999998</v>
      </c>
      <c r="X42" s="78"/>
      <c r="Y42" s="78"/>
      <c r="Z42" s="2"/>
      <c r="AA42" s="2"/>
      <c r="AB42" s="2"/>
      <c r="AC42" s="2"/>
      <c r="AD42" s="2"/>
      <c r="AE42" s="2"/>
      <c r="AF42" s="2"/>
      <c r="AG42" s="2"/>
    </row>
    <row r="43" spans="1:33" s="34" customFormat="1" ht="63" x14ac:dyDescent="0.25">
      <c r="A43" s="6"/>
      <c r="B43" s="2" t="s">
        <v>139</v>
      </c>
      <c r="C43" s="21" t="s">
        <v>140</v>
      </c>
      <c r="D43" s="3">
        <v>2020</v>
      </c>
      <c r="E43" s="81" t="s">
        <v>141</v>
      </c>
      <c r="F43" s="91" t="s">
        <v>45</v>
      </c>
      <c r="G43" s="3" t="s">
        <v>46</v>
      </c>
      <c r="H43" s="3" t="s">
        <v>73</v>
      </c>
      <c r="I43" s="3" t="s">
        <v>53</v>
      </c>
      <c r="J43" s="7">
        <v>3</v>
      </c>
      <c r="K43" s="3">
        <v>300</v>
      </c>
      <c r="L43" s="3" t="s">
        <v>53</v>
      </c>
      <c r="M43" s="3" t="s">
        <v>72</v>
      </c>
      <c r="N43" s="3" t="s">
        <v>74</v>
      </c>
      <c r="O43" s="3" t="s">
        <v>142</v>
      </c>
      <c r="P43" s="3" t="s">
        <v>88</v>
      </c>
      <c r="Q43" s="3" t="s">
        <v>50</v>
      </c>
      <c r="R43" s="3" t="s">
        <v>47</v>
      </c>
      <c r="S43" s="3" t="s">
        <v>72</v>
      </c>
      <c r="T43" s="3" t="s">
        <v>47</v>
      </c>
      <c r="U43" s="3" t="s">
        <v>47</v>
      </c>
      <c r="V43" s="4" t="s">
        <v>144</v>
      </c>
      <c r="W43" s="303">
        <f>'Bardon data'!K8</f>
        <v>3.048</v>
      </c>
      <c r="X43" s="78"/>
      <c r="Y43" s="78"/>
      <c r="Z43" s="2"/>
      <c r="AA43" s="2"/>
      <c r="AB43" s="2"/>
      <c r="AC43" s="2"/>
      <c r="AD43" s="2"/>
      <c r="AE43" s="2"/>
      <c r="AF43" s="2"/>
      <c r="AG43" s="2"/>
    </row>
    <row r="44" spans="1:33" s="34" customFormat="1" ht="126" x14ac:dyDescent="0.25">
      <c r="A44" s="6"/>
      <c r="B44" s="6" t="s">
        <v>145</v>
      </c>
      <c r="C44" s="21" t="s">
        <v>146</v>
      </c>
      <c r="D44" s="7">
        <v>2014</v>
      </c>
      <c r="E44" s="353" t="s">
        <v>147</v>
      </c>
      <c r="F44" s="91" t="s">
        <v>45</v>
      </c>
      <c r="G44" s="7" t="s">
        <v>74</v>
      </c>
      <c r="H44" s="7" t="s">
        <v>74</v>
      </c>
      <c r="I44" s="7" t="s">
        <v>81</v>
      </c>
      <c r="J44" s="7" t="s">
        <v>74</v>
      </c>
      <c r="K44" s="7" t="s">
        <v>74</v>
      </c>
      <c r="L44" s="7" t="s">
        <v>74</v>
      </c>
      <c r="M44" s="7" t="s">
        <v>74</v>
      </c>
      <c r="N44" s="7" t="s">
        <v>47</v>
      </c>
      <c r="O44" s="7" t="s">
        <v>107</v>
      </c>
      <c r="P44" s="7" t="s">
        <v>118</v>
      </c>
      <c r="Q44" s="7" t="s">
        <v>61</v>
      </c>
      <c r="R44" s="7" t="s">
        <v>53</v>
      </c>
      <c r="S44" s="7" t="s">
        <v>72</v>
      </c>
      <c r="T44" s="7" t="s">
        <v>53</v>
      </c>
      <c r="U44" s="7" t="s">
        <v>53</v>
      </c>
      <c r="V44" s="5" t="s">
        <v>148</v>
      </c>
      <c r="W44" s="303">
        <f>'Teehan data'!J23</f>
        <v>3.5990888382687927</v>
      </c>
      <c r="X44" s="79"/>
      <c r="Y44" s="79"/>
      <c r="Z44" s="6"/>
      <c r="AA44" s="6"/>
      <c r="AB44" s="6"/>
      <c r="AC44" s="6"/>
      <c r="AD44" s="6"/>
      <c r="AE44" s="6"/>
      <c r="AF44" s="6"/>
      <c r="AG44" s="6"/>
    </row>
    <row r="45" spans="1:33" s="34" customFormat="1" ht="126" x14ac:dyDescent="0.25">
      <c r="A45" s="6"/>
      <c r="B45" s="6" t="s">
        <v>145</v>
      </c>
      <c r="C45" s="21" t="s">
        <v>146</v>
      </c>
      <c r="D45" s="7">
        <v>2014</v>
      </c>
      <c r="E45" s="353" t="s">
        <v>147</v>
      </c>
      <c r="F45" s="91" t="s">
        <v>45</v>
      </c>
      <c r="G45" s="7" t="s">
        <v>74</v>
      </c>
      <c r="H45" s="7" t="s">
        <v>74</v>
      </c>
      <c r="I45" s="7" t="s">
        <v>81</v>
      </c>
      <c r="J45" s="7" t="s">
        <v>74</v>
      </c>
      <c r="K45" s="7" t="s">
        <v>74</v>
      </c>
      <c r="L45" s="7" t="s">
        <v>74</v>
      </c>
      <c r="M45" s="7" t="s">
        <v>74</v>
      </c>
      <c r="N45" s="7" t="s">
        <v>47</v>
      </c>
      <c r="O45" s="7" t="s">
        <v>107</v>
      </c>
      <c r="P45" s="7" t="s">
        <v>118</v>
      </c>
      <c r="Q45" s="7" t="s">
        <v>61</v>
      </c>
      <c r="R45" s="7" t="s">
        <v>53</v>
      </c>
      <c r="S45" s="7" t="s">
        <v>72</v>
      </c>
      <c r="T45" s="7" t="s">
        <v>53</v>
      </c>
      <c r="U45" s="7" t="s">
        <v>53</v>
      </c>
      <c r="V45" s="5" t="s">
        <v>148</v>
      </c>
      <c r="W45" s="303">
        <f>'Teehan data'!J24</f>
        <v>5.4545454545454541</v>
      </c>
      <c r="X45" s="79"/>
      <c r="Y45" s="79"/>
      <c r="Z45" s="6"/>
      <c r="AA45" s="6"/>
      <c r="AB45" s="6"/>
      <c r="AC45" s="6"/>
      <c r="AD45" s="6"/>
      <c r="AE45" s="6"/>
      <c r="AF45" s="6"/>
      <c r="AG45" s="6"/>
    </row>
    <row r="46" spans="1:33" s="34" customFormat="1" ht="63" x14ac:dyDescent="0.25">
      <c r="A46" s="2"/>
      <c r="B46" s="6" t="s">
        <v>145</v>
      </c>
      <c r="C46" s="21" t="s">
        <v>146</v>
      </c>
      <c r="D46" s="7">
        <v>2014</v>
      </c>
      <c r="E46" s="353" t="s">
        <v>147</v>
      </c>
      <c r="F46" s="91" t="s">
        <v>45</v>
      </c>
      <c r="G46" s="7" t="s">
        <v>74</v>
      </c>
      <c r="H46" s="7" t="s">
        <v>74</v>
      </c>
      <c r="I46" s="7" t="s">
        <v>81</v>
      </c>
      <c r="J46" s="7" t="s">
        <v>74</v>
      </c>
      <c r="K46" s="7" t="s">
        <v>74</v>
      </c>
      <c r="L46" s="7" t="s">
        <v>74</v>
      </c>
      <c r="M46" s="7" t="s">
        <v>74</v>
      </c>
      <c r="N46" s="7" t="s">
        <v>47</v>
      </c>
      <c r="O46" s="7" t="s">
        <v>107</v>
      </c>
      <c r="P46" s="7" t="s">
        <v>118</v>
      </c>
      <c r="Q46" s="7" t="s">
        <v>61</v>
      </c>
      <c r="R46" s="7" t="s">
        <v>53</v>
      </c>
      <c r="S46" s="7" t="s">
        <v>72</v>
      </c>
      <c r="T46" s="7" t="s">
        <v>53</v>
      </c>
      <c r="U46" s="7" t="s">
        <v>53</v>
      </c>
      <c r="V46" s="5" t="s">
        <v>149</v>
      </c>
      <c r="W46" s="303">
        <f>'Teehan data'!G32</f>
        <v>3.7</v>
      </c>
      <c r="X46" s="79"/>
      <c r="Y46" s="79"/>
      <c r="Z46" s="6"/>
      <c r="AA46" s="6"/>
      <c r="AB46" s="6"/>
      <c r="AC46" s="6"/>
      <c r="AD46" s="6"/>
      <c r="AE46" s="6"/>
      <c r="AF46" s="6"/>
      <c r="AG46" s="6"/>
    </row>
    <row r="47" spans="1:33" s="34" customFormat="1" ht="63" x14ac:dyDescent="0.25">
      <c r="A47" s="2"/>
      <c r="B47" s="6" t="s">
        <v>145</v>
      </c>
      <c r="C47" s="21" t="s">
        <v>146</v>
      </c>
      <c r="D47" s="7">
        <v>2014</v>
      </c>
      <c r="E47" s="353" t="s">
        <v>147</v>
      </c>
      <c r="F47" s="91" t="s">
        <v>45</v>
      </c>
      <c r="G47" s="7" t="s">
        <v>74</v>
      </c>
      <c r="H47" s="7" t="s">
        <v>74</v>
      </c>
      <c r="I47" s="7" t="s">
        <v>81</v>
      </c>
      <c r="J47" s="7" t="s">
        <v>74</v>
      </c>
      <c r="K47" s="7" t="s">
        <v>74</v>
      </c>
      <c r="L47" s="7" t="s">
        <v>74</v>
      </c>
      <c r="M47" s="7" t="s">
        <v>74</v>
      </c>
      <c r="N47" s="7" t="s">
        <v>47</v>
      </c>
      <c r="O47" s="7" t="s">
        <v>107</v>
      </c>
      <c r="P47" s="7" t="s">
        <v>118</v>
      </c>
      <c r="Q47" s="7" t="s">
        <v>61</v>
      </c>
      <c r="R47" s="7" t="s">
        <v>53</v>
      </c>
      <c r="S47" s="7" t="s">
        <v>72</v>
      </c>
      <c r="T47" s="7" t="s">
        <v>53</v>
      </c>
      <c r="U47" s="7" t="s">
        <v>53</v>
      </c>
      <c r="V47" s="5" t="s">
        <v>150</v>
      </c>
      <c r="W47" s="303">
        <f>'Teehan data'!G33</f>
        <v>1.6</v>
      </c>
      <c r="X47" s="79"/>
      <c r="Y47" s="79"/>
      <c r="Z47" s="6"/>
      <c r="AA47" s="6"/>
      <c r="AB47" s="6"/>
      <c r="AC47" s="6"/>
      <c r="AD47" s="6"/>
      <c r="AE47" s="6"/>
      <c r="AF47" s="6"/>
      <c r="AG47" s="6"/>
    </row>
    <row r="48" spans="1:33" s="34" customFormat="1" ht="63" x14ac:dyDescent="0.25">
      <c r="A48" s="2"/>
      <c r="B48" s="6" t="s">
        <v>145</v>
      </c>
      <c r="C48" s="21" t="s">
        <v>146</v>
      </c>
      <c r="D48" s="7">
        <v>2014</v>
      </c>
      <c r="E48" s="353" t="s">
        <v>147</v>
      </c>
      <c r="F48" s="91" t="s">
        <v>45</v>
      </c>
      <c r="G48" s="7" t="s">
        <v>74</v>
      </c>
      <c r="H48" s="7" t="s">
        <v>74</v>
      </c>
      <c r="I48" s="7" t="s">
        <v>81</v>
      </c>
      <c r="J48" s="7" t="s">
        <v>74</v>
      </c>
      <c r="K48" s="7" t="s">
        <v>74</v>
      </c>
      <c r="L48" s="7" t="s">
        <v>74</v>
      </c>
      <c r="M48" s="7" t="s">
        <v>74</v>
      </c>
      <c r="N48" s="7" t="s">
        <v>47</v>
      </c>
      <c r="O48" s="7" t="s">
        <v>107</v>
      </c>
      <c r="P48" s="7" t="s">
        <v>118</v>
      </c>
      <c r="Q48" s="7" t="s">
        <v>61</v>
      </c>
      <c r="R48" s="7" t="s">
        <v>53</v>
      </c>
      <c r="S48" s="7" t="s">
        <v>72</v>
      </c>
      <c r="T48" s="7" t="s">
        <v>53</v>
      </c>
      <c r="U48" s="7" t="s">
        <v>53</v>
      </c>
      <c r="V48" s="5" t="s">
        <v>151</v>
      </c>
      <c r="W48" s="303">
        <f>'Teehan data'!G36</f>
        <v>5.5</v>
      </c>
      <c r="X48" s="79"/>
      <c r="Y48" s="79"/>
      <c r="Z48" s="6"/>
      <c r="AA48" s="6"/>
      <c r="AB48" s="6"/>
      <c r="AC48" s="6"/>
      <c r="AD48" s="6"/>
      <c r="AE48" s="6"/>
      <c r="AF48" s="6"/>
      <c r="AG48" s="6"/>
    </row>
    <row r="49" spans="1:33" s="34" customFormat="1" ht="78.75" x14ac:dyDescent="0.25">
      <c r="A49" s="2"/>
      <c r="B49" s="6" t="s">
        <v>145</v>
      </c>
      <c r="C49" s="21" t="s">
        <v>146</v>
      </c>
      <c r="D49" s="7">
        <v>2014</v>
      </c>
      <c r="E49" s="353" t="s">
        <v>147</v>
      </c>
      <c r="F49" s="91" t="s">
        <v>45</v>
      </c>
      <c r="G49" s="7" t="s">
        <v>74</v>
      </c>
      <c r="H49" s="7" t="s">
        <v>74</v>
      </c>
      <c r="I49" s="7" t="s">
        <v>81</v>
      </c>
      <c r="J49" s="7" t="s">
        <v>74</v>
      </c>
      <c r="K49" s="7" t="s">
        <v>74</v>
      </c>
      <c r="L49" s="7" t="s">
        <v>74</v>
      </c>
      <c r="M49" s="7" t="s">
        <v>74</v>
      </c>
      <c r="N49" s="7" t="s">
        <v>47</v>
      </c>
      <c r="O49" s="7" t="s">
        <v>107</v>
      </c>
      <c r="P49" s="7" t="s">
        <v>118</v>
      </c>
      <c r="Q49" s="7" t="s">
        <v>61</v>
      </c>
      <c r="R49" s="7" t="s">
        <v>53</v>
      </c>
      <c r="S49" s="7" t="s">
        <v>72</v>
      </c>
      <c r="T49" s="7" t="s">
        <v>53</v>
      </c>
      <c r="U49" s="7" t="s">
        <v>53</v>
      </c>
      <c r="V49" s="5" t="s">
        <v>152</v>
      </c>
      <c r="W49" s="303">
        <f>'Teehan data'!G37</f>
        <v>7</v>
      </c>
      <c r="X49" s="79"/>
      <c r="Y49" s="79"/>
      <c r="Z49" s="6"/>
      <c r="AA49" s="6"/>
      <c r="AB49" s="6"/>
      <c r="AC49" s="6"/>
      <c r="AD49" s="6"/>
      <c r="AE49" s="6"/>
      <c r="AF49" s="6"/>
      <c r="AG49" s="6"/>
    </row>
    <row r="50" spans="1:33" s="34" customFormat="1" ht="31.5" x14ac:dyDescent="0.25">
      <c r="A50" s="2"/>
      <c r="B50" s="6" t="s">
        <v>153</v>
      </c>
      <c r="C50" s="21" t="s">
        <v>154</v>
      </c>
      <c r="D50" s="7">
        <v>2017</v>
      </c>
      <c r="E50" s="353" t="s">
        <v>155</v>
      </c>
      <c r="F50" s="91" t="s">
        <v>45</v>
      </c>
      <c r="G50" s="7" t="s">
        <v>156</v>
      </c>
      <c r="H50" s="3" t="s">
        <v>74</v>
      </c>
      <c r="I50" s="3" t="s">
        <v>74</v>
      </c>
      <c r="J50" s="3">
        <f>'Kline data'!O6</f>
        <v>350</v>
      </c>
      <c r="K50" s="3">
        <v>200</v>
      </c>
      <c r="L50" s="3" t="s">
        <v>74</v>
      </c>
      <c r="M50" s="3" t="s">
        <v>74</v>
      </c>
      <c r="N50" s="3" t="s">
        <v>74</v>
      </c>
      <c r="O50" s="7" t="s">
        <v>74</v>
      </c>
      <c r="P50" s="3" t="s">
        <v>118</v>
      </c>
      <c r="Q50" s="3" t="s">
        <v>50</v>
      </c>
      <c r="R50" s="3" t="s">
        <v>74</v>
      </c>
      <c r="S50" s="3" t="s">
        <v>72</v>
      </c>
      <c r="T50" s="3" t="s">
        <v>74</v>
      </c>
      <c r="U50" s="3" t="s">
        <v>74</v>
      </c>
      <c r="V50" s="4" t="s">
        <v>157</v>
      </c>
      <c r="W50" s="303">
        <f>'Kline data'!S6</f>
        <v>6.41</v>
      </c>
      <c r="X50" s="79"/>
      <c r="Y50" s="79"/>
      <c r="Z50" s="6"/>
      <c r="AA50" s="6"/>
      <c r="AB50" s="6"/>
      <c r="AC50" s="6"/>
      <c r="AD50" s="6"/>
      <c r="AE50" s="6"/>
      <c r="AF50" s="6"/>
      <c r="AG50" s="6"/>
    </row>
    <row r="51" spans="1:33" s="34" customFormat="1" ht="31.5" x14ac:dyDescent="0.25">
      <c r="A51" s="2"/>
      <c r="B51" s="6" t="s">
        <v>153</v>
      </c>
      <c r="C51" s="21" t="s">
        <v>154</v>
      </c>
      <c r="D51" s="7">
        <v>2017</v>
      </c>
      <c r="E51" s="353" t="s">
        <v>158</v>
      </c>
      <c r="F51" s="91" t="s">
        <v>45</v>
      </c>
      <c r="G51" s="7" t="s">
        <v>156</v>
      </c>
      <c r="H51" s="3" t="s">
        <v>74</v>
      </c>
      <c r="I51" s="3" t="s">
        <v>74</v>
      </c>
      <c r="J51" s="3">
        <f>'Kline data'!O7</f>
        <v>250</v>
      </c>
      <c r="K51" s="3">
        <v>200</v>
      </c>
      <c r="L51" s="3" t="s">
        <v>74</v>
      </c>
      <c r="M51" s="3" t="s">
        <v>74</v>
      </c>
      <c r="N51" s="3" t="s">
        <v>74</v>
      </c>
      <c r="O51" s="7" t="s">
        <v>74</v>
      </c>
      <c r="P51" s="3" t="s">
        <v>118</v>
      </c>
      <c r="Q51" s="3" t="s">
        <v>50</v>
      </c>
      <c r="R51" s="3" t="s">
        <v>74</v>
      </c>
      <c r="S51" s="3" t="s">
        <v>72</v>
      </c>
      <c r="T51" s="3" t="s">
        <v>74</v>
      </c>
      <c r="U51" s="3" t="s">
        <v>74</v>
      </c>
      <c r="V51" s="4" t="s">
        <v>157</v>
      </c>
      <c r="W51" s="303">
        <f>'Kline data'!S7</f>
        <v>4.38</v>
      </c>
      <c r="X51" s="79"/>
      <c r="Y51" s="79"/>
      <c r="Z51" s="6"/>
      <c r="AA51" s="6"/>
      <c r="AB51" s="6"/>
      <c r="AC51" s="6"/>
      <c r="AD51" s="6"/>
      <c r="AE51" s="6"/>
      <c r="AF51" s="6"/>
      <c r="AG51" s="6"/>
    </row>
    <row r="52" spans="1:33" s="34" customFormat="1" ht="31.5" x14ac:dyDescent="0.25">
      <c r="A52" s="2"/>
      <c r="B52" s="6" t="s">
        <v>153</v>
      </c>
      <c r="C52" s="21" t="s">
        <v>154</v>
      </c>
      <c r="D52" s="7">
        <v>2017</v>
      </c>
      <c r="E52" s="353" t="s">
        <v>159</v>
      </c>
      <c r="F52" s="91" t="s">
        <v>45</v>
      </c>
      <c r="G52" s="7" t="s">
        <v>156</v>
      </c>
      <c r="H52" s="3" t="s">
        <v>74</v>
      </c>
      <c r="I52" s="3" t="s">
        <v>74</v>
      </c>
      <c r="J52" s="3">
        <f>'Kline data'!O8</f>
        <v>180</v>
      </c>
      <c r="K52" s="3">
        <v>200</v>
      </c>
      <c r="L52" s="3" t="s">
        <v>74</v>
      </c>
      <c r="M52" s="3" t="s">
        <v>74</v>
      </c>
      <c r="N52" s="3" t="s">
        <v>74</v>
      </c>
      <c r="O52" s="7" t="s">
        <v>74</v>
      </c>
      <c r="P52" s="3" t="s">
        <v>118</v>
      </c>
      <c r="Q52" s="3" t="s">
        <v>50</v>
      </c>
      <c r="R52" s="3" t="s">
        <v>74</v>
      </c>
      <c r="S52" s="3" t="s">
        <v>72</v>
      </c>
      <c r="T52" s="3" t="s">
        <v>74</v>
      </c>
      <c r="U52" s="3" t="s">
        <v>74</v>
      </c>
      <c r="V52" s="4" t="s">
        <v>157</v>
      </c>
      <c r="W52" s="303">
        <f>'Kline data'!S8</f>
        <v>4.9400000000000004</v>
      </c>
      <c r="X52" s="79"/>
      <c r="Y52" s="79"/>
      <c r="Z52" s="6"/>
      <c r="AA52" s="6"/>
      <c r="AB52" s="6"/>
      <c r="AC52" s="6"/>
      <c r="AD52" s="6"/>
      <c r="AE52" s="6"/>
      <c r="AF52" s="6"/>
      <c r="AG52" s="6"/>
    </row>
    <row r="53" spans="1:33" s="34" customFormat="1" ht="31.5" x14ac:dyDescent="0.25">
      <c r="A53" s="2"/>
      <c r="B53" s="6" t="s">
        <v>153</v>
      </c>
      <c r="C53" s="21" t="s">
        <v>154</v>
      </c>
      <c r="D53" s="7">
        <v>2017</v>
      </c>
      <c r="E53" s="353" t="s">
        <v>160</v>
      </c>
      <c r="F53" s="91" t="s">
        <v>45</v>
      </c>
      <c r="G53" s="7" t="s">
        <v>156</v>
      </c>
      <c r="H53" s="3" t="s">
        <v>74</v>
      </c>
      <c r="I53" s="3" t="s">
        <v>74</v>
      </c>
      <c r="J53" s="3">
        <f>'Kline data'!O9</f>
        <v>130</v>
      </c>
      <c r="K53" s="3">
        <v>200</v>
      </c>
      <c r="L53" s="3" t="s">
        <v>74</v>
      </c>
      <c r="M53" s="3" t="s">
        <v>74</v>
      </c>
      <c r="N53" s="3" t="s">
        <v>74</v>
      </c>
      <c r="O53" s="7" t="s">
        <v>74</v>
      </c>
      <c r="P53" s="3" t="s">
        <v>118</v>
      </c>
      <c r="Q53" s="3" t="s">
        <v>50</v>
      </c>
      <c r="R53" s="3" t="s">
        <v>74</v>
      </c>
      <c r="S53" s="3" t="s">
        <v>72</v>
      </c>
      <c r="T53" s="3" t="s">
        <v>74</v>
      </c>
      <c r="U53" s="3" t="s">
        <v>74</v>
      </c>
      <c r="V53" s="4" t="s">
        <v>157</v>
      </c>
      <c r="W53" s="303">
        <f>'Kline data'!S9</f>
        <v>3.41</v>
      </c>
      <c r="X53" s="79"/>
      <c r="Y53" s="79"/>
      <c r="Z53" s="6"/>
      <c r="AA53" s="6"/>
      <c r="AB53" s="6"/>
      <c r="AC53" s="6"/>
      <c r="AD53" s="6"/>
      <c r="AE53" s="6"/>
      <c r="AF53" s="6"/>
      <c r="AG53" s="6"/>
    </row>
    <row r="54" spans="1:33" s="34" customFormat="1" ht="31.5" x14ac:dyDescent="0.25">
      <c r="A54" s="2"/>
      <c r="B54" s="6" t="s">
        <v>153</v>
      </c>
      <c r="C54" s="21" t="s">
        <v>154</v>
      </c>
      <c r="D54" s="7">
        <v>2017</v>
      </c>
      <c r="E54" s="353" t="s">
        <v>161</v>
      </c>
      <c r="F54" s="91" t="s">
        <v>45</v>
      </c>
      <c r="G54" s="7" t="s">
        <v>156</v>
      </c>
      <c r="H54" s="3" t="s">
        <v>74</v>
      </c>
      <c r="I54" s="3" t="s">
        <v>74</v>
      </c>
      <c r="J54" s="3">
        <f>'Kline data'!O10</f>
        <v>90</v>
      </c>
      <c r="K54" s="3">
        <v>200</v>
      </c>
      <c r="L54" s="3" t="s">
        <v>74</v>
      </c>
      <c r="M54" s="3" t="s">
        <v>74</v>
      </c>
      <c r="N54" s="3" t="s">
        <v>74</v>
      </c>
      <c r="O54" s="7" t="s">
        <v>74</v>
      </c>
      <c r="P54" s="3" t="s">
        <v>118</v>
      </c>
      <c r="Q54" s="3" t="s">
        <v>50</v>
      </c>
      <c r="R54" s="3" t="s">
        <v>74</v>
      </c>
      <c r="S54" s="3" t="s">
        <v>72</v>
      </c>
      <c r="T54" s="3" t="s">
        <v>74</v>
      </c>
      <c r="U54" s="3" t="s">
        <v>74</v>
      </c>
      <c r="V54" s="4" t="s">
        <v>157</v>
      </c>
      <c r="W54" s="303">
        <f>'Kline data'!S10</f>
        <v>4.1500000000000004</v>
      </c>
      <c r="X54" s="79"/>
      <c r="Y54" s="79"/>
      <c r="Z54" s="6"/>
      <c r="AA54" s="6"/>
      <c r="AB54" s="6"/>
      <c r="AC54" s="6"/>
      <c r="AD54" s="6"/>
      <c r="AE54" s="6"/>
      <c r="AF54" s="6"/>
      <c r="AG54" s="6"/>
    </row>
    <row r="55" spans="1:33" s="34" customFormat="1" ht="31.5" x14ac:dyDescent="0.25">
      <c r="A55" s="2"/>
      <c r="B55" s="6" t="s">
        <v>153</v>
      </c>
      <c r="C55" s="21" t="s">
        <v>154</v>
      </c>
      <c r="D55" s="7">
        <v>2017</v>
      </c>
      <c r="E55" s="353" t="s">
        <v>162</v>
      </c>
      <c r="F55" s="91" t="s">
        <v>45</v>
      </c>
      <c r="G55" s="7" t="s">
        <v>156</v>
      </c>
      <c r="H55" s="3" t="s">
        <v>74</v>
      </c>
      <c r="I55" s="3" t="s">
        <v>74</v>
      </c>
      <c r="J55" s="3">
        <f>'Kline data'!O11</f>
        <v>65</v>
      </c>
      <c r="K55" s="3">
        <v>200</v>
      </c>
      <c r="L55" s="3" t="s">
        <v>74</v>
      </c>
      <c r="M55" s="3" t="s">
        <v>74</v>
      </c>
      <c r="N55" s="3" t="s">
        <v>74</v>
      </c>
      <c r="O55" s="7" t="s">
        <v>74</v>
      </c>
      <c r="P55" s="3" t="s">
        <v>118</v>
      </c>
      <c r="Q55" s="3" t="s">
        <v>50</v>
      </c>
      <c r="R55" s="3" t="s">
        <v>74</v>
      </c>
      <c r="S55" s="3" t="s">
        <v>72</v>
      </c>
      <c r="T55" s="3" t="s">
        <v>74</v>
      </c>
      <c r="U55" s="3" t="s">
        <v>74</v>
      </c>
      <c r="V55" s="4" t="s">
        <v>157</v>
      </c>
      <c r="W55" s="303">
        <f>'Kline data'!S11</f>
        <v>4.09</v>
      </c>
      <c r="X55" s="79"/>
      <c r="Y55" s="79"/>
      <c r="Z55" s="6"/>
      <c r="AA55" s="6"/>
      <c r="AB55" s="6"/>
      <c r="AC55" s="6"/>
      <c r="AD55" s="6"/>
      <c r="AE55" s="6"/>
      <c r="AF55" s="6"/>
      <c r="AG55" s="6"/>
    </row>
    <row r="56" spans="1:33" s="34" customFormat="1" ht="31.5" x14ac:dyDescent="0.25">
      <c r="A56" s="2"/>
      <c r="B56" s="6" t="s">
        <v>153</v>
      </c>
      <c r="C56" s="21" t="s">
        <v>154</v>
      </c>
      <c r="D56" s="7">
        <v>2017</v>
      </c>
      <c r="E56" s="353" t="s">
        <v>163</v>
      </c>
      <c r="F56" s="91" t="s">
        <v>45</v>
      </c>
      <c r="G56" s="7" t="s">
        <v>156</v>
      </c>
      <c r="H56" s="3" t="s">
        <v>74</v>
      </c>
      <c r="I56" s="3" t="s">
        <v>74</v>
      </c>
      <c r="J56" s="3">
        <f>'Kline data'!O12</f>
        <v>45</v>
      </c>
      <c r="K56" s="3">
        <v>200</v>
      </c>
      <c r="L56" s="3" t="s">
        <v>74</v>
      </c>
      <c r="M56" s="3" t="s">
        <v>74</v>
      </c>
      <c r="N56" s="3" t="s">
        <v>74</v>
      </c>
      <c r="O56" s="7" t="s">
        <v>74</v>
      </c>
      <c r="P56" s="3" t="s">
        <v>118</v>
      </c>
      <c r="Q56" s="3" t="s">
        <v>50</v>
      </c>
      <c r="R56" s="3" t="s">
        <v>74</v>
      </c>
      <c r="S56" s="3" t="s">
        <v>72</v>
      </c>
      <c r="T56" s="3" t="s">
        <v>74</v>
      </c>
      <c r="U56" s="3" t="s">
        <v>74</v>
      </c>
      <c r="V56" s="4" t="s">
        <v>157</v>
      </c>
      <c r="W56" s="303">
        <f>'Kline data'!S12</f>
        <v>5.49</v>
      </c>
      <c r="X56" s="79"/>
      <c r="Y56" s="79"/>
      <c r="Z56" s="6"/>
      <c r="AA56" s="6"/>
      <c r="AB56" s="6"/>
      <c r="AC56" s="6"/>
      <c r="AD56" s="6"/>
      <c r="AE56" s="6"/>
      <c r="AF56" s="6"/>
      <c r="AG56" s="6"/>
    </row>
    <row r="57" spans="1:33" s="34" customFormat="1" ht="31.5" x14ac:dyDescent="0.25">
      <c r="A57" s="2"/>
      <c r="B57" s="6" t="s">
        <v>115</v>
      </c>
      <c r="C57" s="21" t="s">
        <v>116</v>
      </c>
      <c r="D57" s="7">
        <v>2016</v>
      </c>
      <c r="E57" s="352" t="s">
        <v>164</v>
      </c>
      <c r="F57" s="91" t="s">
        <v>45</v>
      </c>
      <c r="G57" s="7" t="s">
        <v>52</v>
      </c>
      <c r="H57" s="7" t="s">
        <v>47</v>
      </c>
      <c r="I57" s="7" t="s">
        <v>47</v>
      </c>
      <c r="J57" s="7" t="s">
        <v>74</v>
      </c>
      <c r="K57" s="7" t="s">
        <v>74</v>
      </c>
      <c r="L57" s="7" t="s">
        <v>47</v>
      </c>
      <c r="M57" s="7" t="s">
        <v>47</v>
      </c>
      <c r="N57" s="7" t="s">
        <v>47</v>
      </c>
      <c r="O57" s="7" t="s">
        <v>74</v>
      </c>
      <c r="P57" s="7" t="s">
        <v>49</v>
      </c>
      <c r="Q57" s="7" t="s">
        <v>74</v>
      </c>
      <c r="R57" s="7" t="s">
        <v>72</v>
      </c>
      <c r="S57" s="7" t="s">
        <v>113</v>
      </c>
      <c r="T57" s="7" t="s">
        <v>165</v>
      </c>
      <c r="U57" s="7" t="s">
        <v>47</v>
      </c>
      <c r="V57" s="5" t="s">
        <v>166</v>
      </c>
      <c r="W57" s="303">
        <f>'Ercan data'!I8</f>
        <v>3</v>
      </c>
      <c r="X57" s="80"/>
      <c r="Y57" s="80"/>
      <c r="Z57" s="39"/>
      <c r="AA57" s="39"/>
      <c r="AB57" s="39"/>
      <c r="AC57" s="39"/>
      <c r="AD57" s="39"/>
      <c r="AE57" s="39"/>
      <c r="AF57" s="39"/>
      <c r="AG57" s="39"/>
    </row>
    <row r="58" spans="1:33" s="34" customFormat="1" ht="189" x14ac:dyDescent="0.25">
      <c r="A58" s="2"/>
      <c r="B58" s="71" t="s">
        <v>121</v>
      </c>
      <c r="C58" s="91" t="s">
        <v>122</v>
      </c>
      <c r="D58" s="3">
        <v>2012</v>
      </c>
      <c r="E58" s="81" t="s">
        <v>123</v>
      </c>
      <c r="F58" s="91" t="s">
        <v>45</v>
      </c>
      <c r="G58" s="3" t="s">
        <v>52</v>
      </c>
      <c r="H58" s="3" t="s">
        <v>47</v>
      </c>
      <c r="I58" s="3" t="s">
        <v>76</v>
      </c>
      <c r="J58" s="3" t="s">
        <v>74</v>
      </c>
      <c r="K58" s="3">
        <v>300</v>
      </c>
      <c r="L58" s="3" t="s">
        <v>73</v>
      </c>
      <c r="M58" s="3" t="s">
        <v>47</v>
      </c>
      <c r="N58" s="3" t="s">
        <v>89</v>
      </c>
      <c r="O58" s="3" t="s">
        <v>142</v>
      </c>
      <c r="P58" s="3" t="s">
        <v>49</v>
      </c>
      <c r="Q58" s="3" t="s">
        <v>61</v>
      </c>
      <c r="R58" s="7" t="s">
        <v>113</v>
      </c>
      <c r="S58" s="7" t="s">
        <v>72</v>
      </c>
      <c r="T58" s="3" t="s">
        <v>47</v>
      </c>
      <c r="U58" s="3" t="s">
        <v>47</v>
      </c>
      <c r="V58" s="5" t="s">
        <v>167</v>
      </c>
      <c r="W58" s="302">
        <f>'Schmidt data'!D6</f>
        <v>0.69</v>
      </c>
      <c r="X58" s="78"/>
      <c r="Y58" s="78"/>
      <c r="Z58" s="2"/>
      <c r="AA58" s="2"/>
      <c r="AB58" s="2"/>
      <c r="AC58" s="2"/>
      <c r="AD58" s="2"/>
      <c r="AE58" s="2"/>
      <c r="AF58" s="2"/>
      <c r="AG58" s="2"/>
    </row>
    <row r="59" spans="1:33" s="344" customFormat="1" x14ac:dyDescent="0.25">
      <c r="A59" s="327"/>
      <c r="B59" s="327"/>
      <c r="C59" s="329" t="s">
        <v>168</v>
      </c>
      <c r="D59" s="328"/>
      <c r="E59" s="354"/>
      <c r="F59" s="329" t="s">
        <v>168</v>
      </c>
      <c r="G59" s="328"/>
      <c r="H59" s="328"/>
      <c r="I59" s="328"/>
      <c r="J59" s="328"/>
      <c r="K59" s="328"/>
      <c r="L59" s="328"/>
      <c r="M59" s="328"/>
      <c r="N59" s="328"/>
      <c r="O59" s="328"/>
      <c r="P59" s="328"/>
      <c r="Q59" s="328"/>
      <c r="R59" s="328"/>
      <c r="S59" s="328"/>
      <c r="T59" s="328"/>
      <c r="U59" s="328"/>
      <c r="V59" s="330"/>
      <c r="W59" s="338"/>
      <c r="X59" s="331"/>
      <c r="Y59" s="331"/>
      <c r="Z59" s="327"/>
      <c r="AA59" s="327"/>
      <c r="AB59" s="327"/>
      <c r="AC59" s="327"/>
      <c r="AD59" s="327"/>
      <c r="AE59" s="327"/>
      <c r="AF59" s="327"/>
      <c r="AG59" s="327"/>
    </row>
    <row r="60" spans="1:33" s="34" customFormat="1" ht="47.25" x14ac:dyDescent="0.25">
      <c r="A60" s="2"/>
      <c r="B60" s="6" t="s">
        <v>169</v>
      </c>
      <c r="C60" s="7" t="s">
        <v>170</v>
      </c>
      <c r="D60" s="3">
        <v>1983</v>
      </c>
      <c r="E60" s="81" t="s">
        <v>171</v>
      </c>
      <c r="F60" s="7" t="s">
        <v>51</v>
      </c>
      <c r="G60" s="7" t="s">
        <v>58</v>
      </c>
      <c r="H60" s="7" t="s">
        <v>47</v>
      </c>
      <c r="I60" s="7" t="s">
        <v>74</v>
      </c>
      <c r="J60" s="7" t="s">
        <v>58</v>
      </c>
      <c r="K60" s="7">
        <v>100</v>
      </c>
      <c r="L60" s="7" t="s">
        <v>74</v>
      </c>
      <c r="M60" s="7" t="s">
        <v>74</v>
      </c>
      <c r="N60" s="7" t="s">
        <v>74</v>
      </c>
      <c r="O60" s="7" t="s">
        <v>172</v>
      </c>
      <c r="P60" s="3" t="s">
        <v>173</v>
      </c>
      <c r="Q60" s="7" t="s">
        <v>74</v>
      </c>
      <c r="R60" s="7" t="s">
        <v>47</v>
      </c>
      <c r="S60" s="7" t="s">
        <v>53</v>
      </c>
      <c r="T60" s="7" t="s">
        <v>53</v>
      </c>
      <c r="U60" s="3" t="s">
        <v>47</v>
      </c>
      <c r="V60" s="4" t="s">
        <v>174</v>
      </c>
      <c r="W60" s="303">
        <f>'Plepys data'!AE5</f>
        <v>2.1981684426008949</v>
      </c>
      <c r="X60" s="2"/>
      <c r="Y60" s="2"/>
      <c r="Z60" s="2"/>
      <c r="AA60" s="2"/>
      <c r="AB60" s="2"/>
      <c r="AC60" s="2"/>
      <c r="AD60" s="2"/>
      <c r="AE60" s="2"/>
      <c r="AF60" s="2"/>
      <c r="AG60" s="2"/>
    </row>
    <row r="61" spans="1:33" s="34" customFormat="1" ht="47.25" x14ac:dyDescent="0.25">
      <c r="A61" s="2"/>
      <c r="B61" s="6" t="s">
        <v>169</v>
      </c>
      <c r="C61" s="7" t="s">
        <v>170</v>
      </c>
      <c r="D61" s="3">
        <v>1984</v>
      </c>
      <c r="E61" s="81" t="s">
        <v>171</v>
      </c>
      <c r="F61" s="7" t="s">
        <v>51</v>
      </c>
      <c r="G61" s="7" t="s">
        <v>58</v>
      </c>
      <c r="H61" s="7" t="s">
        <v>47</v>
      </c>
      <c r="I61" s="7" t="s">
        <v>74</v>
      </c>
      <c r="J61" s="7" t="s">
        <v>58</v>
      </c>
      <c r="K61" s="7">
        <v>200</v>
      </c>
      <c r="L61" s="7" t="s">
        <v>74</v>
      </c>
      <c r="M61" s="7" t="s">
        <v>74</v>
      </c>
      <c r="N61" s="7" t="s">
        <v>74</v>
      </c>
      <c r="O61" s="7" t="s">
        <v>48</v>
      </c>
      <c r="P61" s="3" t="s">
        <v>173</v>
      </c>
      <c r="Q61" s="7" t="s">
        <v>74</v>
      </c>
      <c r="R61" s="7" t="s">
        <v>47</v>
      </c>
      <c r="S61" s="7" t="s">
        <v>53</v>
      </c>
      <c r="T61" s="7" t="s">
        <v>53</v>
      </c>
      <c r="U61" s="3" t="s">
        <v>47</v>
      </c>
      <c r="V61" s="4" t="s">
        <v>174</v>
      </c>
      <c r="W61" s="303">
        <f>'Plepys data'!AE6</f>
        <v>2.3116222977028764</v>
      </c>
      <c r="X61" s="2"/>
      <c r="Y61" s="2"/>
      <c r="Z61" s="2"/>
      <c r="AA61" s="2"/>
      <c r="AB61" s="2"/>
      <c r="AC61" s="2"/>
      <c r="AD61" s="2"/>
      <c r="AE61" s="2"/>
      <c r="AF61" s="2"/>
      <c r="AG61" s="2"/>
    </row>
    <row r="62" spans="1:33" s="34" customFormat="1" ht="47.25" x14ac:dyDescent="0.25">
      <c r="A62" s="2"/>
      <c r="B62" s="6" t="s">
        <v>169</v>
      </c>
      <c r="C62" s="7" t="s">
        <v>170</v>
      </c>
      <c r="D62" s="3">
        <v>1988</v>
      </c>
      <c r="E62" s="81" t="s">
        <v>171</v>
      </c>
      <c r="F62" s="7" t="s">
        <v>51</v>
      </c>
      <c r="G62" s="7" t="s">
        <v>58</v>
      </c>
      <c r="H62" s="7" t="s">
        <v>47</v>
      </c>
      <c r="I62" s="7" t="s">
        <v>74</v>
      </c>
      <c r="J62" s="7" t="s">
        <v>58</v>
      </c>
      <c r="K62" s="7">
        <v>150</v>
      </c>
      <c r="L62" s="7" t="s">
        <v>74</v>
      </c>
      <c r="M62" s="7" t="s">
        <v>74</v>
      </c>
      <c r="N62" s="7" t="s">
        <v>74</v>
      </c>
      <c r="O62" s="7" t="s">
        <v>48</v>
      </c>
      <c r="P62" s="3" t="s">
        <v>173</v>
      </c>
      <c r="Q62" s="7" t="s">
        <v>74</v>
      </c>
      <c r="R62" s="7" t="s">
        <v>47</v>
      </c>
      <c r="S62" s="7" t="s">
        <v>53</v>
      </c>
      <c r="T62" s="7" t="s">
        <v>53</v>
      </c>
      <c r="U62" s="3" t="s">
        <v>47</v>
      </c>
      <c r="V62" s="4" t="s">
        <v>174</v>
      </c>
      <c r="W62" s="303">
        <f>'Plepys data'!AE7</f>
        <v>1.3189010655605371</v>
      </c>
      <c r="X62" s="2"/>
      <c r="Y62" s="2"/>
      <c r="Z62" s="2"/>
      <c r="AA62" s="2"/>
      <c r="AB62" s="2"/>
      <c r="AC62" s="2"/>
      <c r="AD62" s="2"/>
      <c r="AE62" s="2"/>
      <c r="AF62" s="2"/>
      <c r="AG62" s="2"/>
    </row>
    <row r="63" spans="1:33" s="34" customFormat="1" ht="47.25" x14ac:dyDescent="0.25">
      <c r="A63" s="2"/>
      <c r="B63" s="6" t="s">
        <v>169</v>
      </c>
      <c r="C63" s="7" t="s">
        <v>170</v>
      </c>
      <c r="D63" s="3">
        <v>1993</v>
      </c>
      <c r="E63" s="81" t="s">
        <v>171</v>
      </c>
      <c r="F63" s="7" t="s">
        <v>51</v>
      </c>
      <c r="G63" s="7" t="s">
        <v>58</v>
      </c>
      <c r="H63" s="7" t="s">
        <v>47</v>
      </c>
      <c r="I63" s="7" t="s">
        <v>74</v>
      </c>
      <c r="J63" s="7" t="s">
        <v>58</v>
      </c>
      <c r="K63" s="7">
        <v>150</v>
      </c>
      <c r="L63" s="7" t="s">
        <v>74</v>
      </c>
      <c r="M63" s="7" t="s">
        <v>74</v>
      </c>
      <c r="N63" s="7" t="s">
        <v>74</v>
      </c>
      <c r="O63" s="7" t="s">
        <v>48</v>
      </c>
      <c r="P63" s="3" t="s">
        <v>173</v>
      </c>
      <c r="Q63" s="7" t="s">
        <v>74</v>
      </c>
      <c r="R63" s="7" t="s">
        <v>47</v>
      </c>
      <c r="S63" s="7" t="s">
        <v>53</v>
      </c>
      <c r="T63" s="7" t="s">
        <v>53</v>
      </c>
      <c r="U63" s="3" t="s">
        <v>47</v>
      </c>
      <c r="V63" s="4" t="s">
        <v>174</v>
      </c>
      <c r="W63" s="303">
        <f>'Plepys data'!AE8</f>
        <v>0.94308517053522278</v>
      </c>
      <c r="X63" s="2"/>
      <c r="Y63" s="2"/>
      <c r="Z63" s="2"/>
      <c r="AA63" s="2"/>
      <c r="AB63" s="2"/>
      <c r="AC63" s="2"/>
      <c r="AD63" s="2"/>
      <c r="AE63" s="2"/>
      <c r="AF63" s="2"/>
      <c r="AG63" s="2"/>
    </row>
    <row r="64" spans="1:33" s="34" customFormat="1" ht="47.25" x14ac:dyDescent="0.25">
      <c r="A64" s="2"/>
      <c r="B64" s="6" t="s">
        <v>169</v>
      </c>
      <c r="C64" s="7" t="s">
        <v>170</v>
      </c>
      <c r="D64" s="3">
        <v>1993</v>
      </c>
      <c r="E64" s="81" t="s">
        <v>171</v>
      </c>
      <c r="F64" s="7" t="s">
        <v>51</v>
      </c>
      <c r="G64" s="7" t="s">
        <v>58</v>
      </c>
      <c r="H64" s="7" t="s">
        <v>47</v>
      </c>
      <c r="I64" s="7" t="s">
        <v>74</v>
      </c>
      <c r="J64" s="7" t="s">
        <v>58</v>
      </c>
      <c r="K64" s="7">
        <v>150</v>
      </c>
      <c r="L64" s="7" t="s">
        <v>74</v>
      </c>
      <c r="M64" s="7" t="s">
        <v>74</v>
      </c>
      <c r="N64" s="7" t="s">
        <v>74</v>
      </c>
      <c r="O64" s="7" t="s">
        <v>48</v>
      </c>
      <c r="P64" s="3" t="s">
        <v>173</v>
      </c>
      <c r="Q64" s="7" t="s">
        <v>74</v>
      </c>
      <c r="R64" s="7" t="s">
        <v>47</v>
      </c>
      <c r="S64" s="7" t="s">
        <v>53</v>
      </c>
      <c r="T64" s="7" t="s">
        <v>53</v>
      </c>
      <c r="U64" s="3" t="s">
        <v>47</v>
      </c>
      <c r="V64" s="4" t="s">
        <v>174</v>
      </c>
      <c r="W64" s="303">
        <f>'Plepys data'!AE9</f>
        <v>1.1629020147953122</v>
      </c>
      <c r="X64" s="2"/>
      <c r="Y64" s="2"/>
      <c r="Z64" s="2"/>
      <c r="AA64" s="2"/>
      <c r="AB64" s="2"/>
      <c r="AC64" s="2"/>
      <c r="AD64" s="2"/>
      <c r="AE64" s="2"/>
      <c r="AF64" s="2"/>
      <c r="AG64" s="2"/>
    </row>
    <row r="65" spans="1:33" s="34" customFormat="1" ht="47.25" x14ac:dyDescent="0.25">
      <c r="A65" s="2"/>
      <c r="B65" s="6" t="s">
        <v>169</v>
      </c>
      <c r="C65" s="7" t="s">
        <v>170</v>
      </c>
      <c r="D65" s="3">
        <v>1994</v>
      </c>
      <c r="E65" s="81" t="s">
        <v>171</v>
      </c>
      <c r="F65" s="7" t="s">
        <v>51</v>
      </c>
      <c r="G65" s="7" t="s">
        <v>58</v>
      </c>
      <c r="H65" s="7" t="s">
        <v>47</v>
      </c>
      <c r="I65" s="7" t="s">
        <v>74</v>
      </c>
      <c r="J65" s="7" t="s">
        <v>58</v>
      </c>
      <c r="K65" s="7">
        <v>150</v>
      </c>
      <c r="L65" s="7" t="s">
        <v>74</v>
      </c>
      <c r="M65" s="7" t="s">
        <v>74</v>
      </c>
      <c r="N65" s="7" t="s">
        <v>74</v>
      </c>
      <c r="O65" s="7" t="s">
        <v>48</v>
      </c>
      <c r="P65" s="3" t="s">
        <v>173</v>
      </c>
      <c r="Q65" s="7" t="s">
        <v>74</v>
      </c>
      <c r="R65" s="7" t="s">
        <v>47</v>
      </c>
      <c r="S65" s="7" t="s">
        <v>53</v>
      </c>
      <c r="T65" s="7" t="s">
        <v>53</v>
      </c>
      <c r="U65" s="3" t="s">
        <v>47</v>
      </c>
      <c r="V65" s="4" t="s">
        <v>174</v>
      </c>
      <c r="W65" s="303">
        <f>'Plepys data'!AE10</f>
        <v>1.0849024894127</v>
      </c>
      <c r="X65" s="2"/>
      <c r="Y65" s="2"/>
      <c r="Z65" s="2"/>
      <c r="AA65" s="2"/>
      <c r="AB65" s="2"/>
      <c r="AC65" s="2"/>
      <c r="AD65" s="2"/>
      <c r="AE65" s="2"/>
      <c r="AF65" s="2"/>
      <c r="AG65" s="2"/>
    </row>
    <row r="66" spans="1:33" s="34" customFormat="1" ht="47.25" x14ac:dyDescent="0.25">
      <c r="A66" s="2"/>
      <c r="B66" s="6" t="s">
        <v>169</v>
      </c>
      <c r="C66" s="7" t="s">
        <v>170</v>
      </c>
      <c r="D66" s="3">
        <v>1994</v>
      </c>
      <c r="E66" s="81" t="s">
        <v>171</v>
      </c>
      <c r="F66" s="7" t="s">
        <v>51</v>
      </c>
      <c r="G66" s="7" t="s">
        <v>58</v>
      </c>
      <c r="H66" s="7" t="s">
        <v>47</v>
      </c>
      <c r="I66" s="7" t="s">
        <v>74</v>
      </c>
      <c r="J66" s="7" t="s">
        <v>58</v>
      </c>
      <c r="K66" s="7">
        <v>150</v>
      </c>
      <c r="L66" s="7" t="s">
        <v>74</v>
      </c>
      <c r="M66" s="7" t="s">
        <v>74</v>
      </c>
      <c r="N66" s="7" t="s">
        <v>74</v>
      </c>
      <c r="O66" s="7" t="s">
        <v>59</v>
      </c>
      <c r="P66" s="3" t="s">
        <v>173</v>
      </c>
      <c r="Q66" s="7" t="s">
        <v>74</v>
      </c>
      <c r="R66" s="7" t="s">
        <v>47</v>
      </c>
      <c r="S66" s="7" t="s">
        <v>53</v>
      </c>
      <c r="T66" s="7" t="s">
        <v>53</v>
      </c>
      <c r="U66" s="3" t="s">
        <v>47</v>
      </c>
      <c r="V66" s="4" t="s">
        <v>174</v>
      </c>
      <c r="W66" s="303">
        <f>'Plepys data'!AE11</f>
        <v>0.68072313061189005</v>
      </c>
      <c r="X66" s="2"/>
      <c r="Y66" s="2"/>
      <c r="Z66" s="2"/>
      <c r="AA66" s="2"/>
      <c r="AB66" s="2"/>
      <c r="AC66" s="2"/>
      <c r="AD66" s="2"/>
      <c r="AE66" s="2"/>
      <c r="AF66" s="2"/>
      <c r="AG66" s="2"/>
    </row>
    <row r="67" spans="1:33" s="34" customFormat="1" ht="47.25" x14ac:dyDescent="0.25">
      <c r="A67" s="2"/>
      <c r="B67" s="6" t="s">
        <v>169</v>
      </c>
      <c r="C67" s="7" t="s">
        <v>170</v>
      </c>
      <c r="D67" s="3">
        <v>1995</v>
      </c>
      <c r="E67" s="81" t="s">
        <v>171</v>
      </c>
      <c r="F67" s="7" t="s">
        <v>51</v>
      </c>
      <c r="G67" s="7" t="s">
        <v>58</v>
      </c>
      <c r="H67" s="7" t="s">
        <v>47</v>
      </c>
      <c r="I67" s="7" t="s">
        <v>74</v>
      </c>
      <c r="J67" s="7" t="s">
        <v>58</v>
      </c>
      <c r="K67" s="7" t="s">
        <v>74</v>
      </c>
      <c r="L67" s="7" t="s">
        <v>74</v>
      </c>
      <c r="M67" s="7" t="s">
        <v>74</v>
      </c>
      <c r="N67" s="7" t="s">
        <v>74</v>
      </c>
      <c r="O67" s="7" t="s">
        <v>64</v>
      </c>
      <c r="P67" s="3" t="s">
        <v>173</v>
      </c>
      <c r="Q67" s="7" t="s">
        <v>74</v>
      </c>
      <c r="R67" s="7" t="s">
        <v>47</v>
      </c>
      <c r="S67" s="7" t="s">
        <v>53</v>
      </c>
      <c r="T67" s="7" t="s">
        <v>53</v>
      </c>
      <c r="U67" s="3" t="s">
        <v>47</v>
      </c>
      <c r="V67" s="4" t="s">
        <v>174</v>
      </c>
      <c r="W67" s="303">
        <f>'Plepys data'!AE12</f>
        <v>1.021084695917835</v>
      </c>
      <c r="X67" s="2"/>
      <c r="Y67" s="2"/>
      <c r="Z67" s="2"/>
      <c r="AA67" s="2"/>
      <c r="AB67" s="2"/>
      <c r="AC67" s="2"/>
      <c r="AD67" s="2"/>
      <c r="AE67" s="2"/>
      <c r="AF67" s="2"/>
      <c r="AG67" s="2"/>
    </row>
    <row r="68" spans="1:33" s="34" customFormat="1" ht="47.25" x14ac:dyDescent="0.25">
      <c r="A68" s="2"/>
      <c r="B68" s="6" t="s">
        <v>169</v>
      </c>
      <c r="C68" s="7" t="s">
        <v>170</v>
      </c>
      <c r="D68" s="3">
        <v>1995</v>
      </c>
      <c r="E68" s="81" t="s">
        <v>171</v>
      </c>
      <c r="F68" s="7" t="s">
        <v>51</v>
      </c>
      <c r="G68" s="7" t="s">
        <v>58</v>
      </c>
      <c r="H68" s="7" t="s">
        <v>47</v>
      </c>
      <c r="I68" s="7" t="s">
        <v>74</v>
      </c>
      <c r="J68" s="7" t="s">
        <v>58</v>
      </c>
      <c r="K68" s="7" t="s">
        <v>74</v>
      </c>
      <c r="L68" s="7" t="s">
        <v>74</v>
      </c>
      <c r="M68" s="7" t="s">
        <v>74</v>
      </c>
      <c r="N68" s="7" t="s">
        <v>74</v>
      </c>
      <c r="O68" s="7" t="s">
        <v>64</v>
      </c>
      <c r="P68" s="3" t="s">
        <v>173</v>
      </c>
      <c r="Q68" s="7" t="s">
        <v>74</v>
      </c>
      <c r="R68" s="7" t="s">
        <v>47</v>
      </c>
      <c r="S68" s="7" t="s">
        <v>53</v>
      </c>
      <c r="T68" s="7" t="s">
        <v>53</v>
      </c>
      <c r="U68" s="3" t="s">
        <v>47</v>
      </c>
      <c r="V68" s="4" t="s">
        <v>174</v>
      </c>
      <c r="W68" s="303">
        <f>'Plepys data'!AE13</f>
        <v>0.99981209808621352</v>
      </c>
      <c r="X68" s="2"/>
      <c r="Y68" s="2"/>
      <c r="Z68" s="2"/>
      <c r="AA68" s="2"/>
      <c r="AB68" s="2"/>
      <c r="AC68" s="2"/>
      <c r="AD68" s="2"/>
      <c r="AE68" s="2"/>
      <c r="AF68" s="2"/>
      <c r="AG68" s="2"/>
    </row>
    <row r="69" spans="1:33" s="34" customFormat="1" ht="47.25" x14ac:dyDescent="0.25">
      <c r="A69" s="2"/>
      <c r="B69" s="6" t="s">
        <v>169</v>
      </c>
      <c r="C69" s="7" t="s">
        <v>170</v>
      </c>
      <c r="D69" s="3">
        <v>1997</v>
      </c>
      <c r="E69" s="81" t="s">
        <v>171</v>
      </c>
      <c r="F69" s="7" t="s">
        <v>51</v>
      </c>
      <c r="G69" s="7" t="s">
        <v>58</v>
      </c>
      <c r="H69" s="7" t="s">
        <v>47</v>
      </c>
      <c r="I69" s="7" t="s">
        <v>74</v>
      </c>
      <c r="J69" s="7" t="s">
        <v>58</v>
      </c>
      <c r="K69" s="7">
        <v>150</v>
      </c>
      <c r="L69" s="7" t="s">
        <v>74</v>
      </c>
      <c r="M69" s="7" t="s">
        <v>74</v>
      </c>
      <c r="N69" s="7" t="s">
        <v>74</v>
      </c>
      <c r="O69" s="7" t="s">
        <v>59</v>
      </c>
      <c r="P69" s="3" t="s">
        <v>173</v>
      </c>
      <c r="Q69" s="7" t="s">
        <v>74</v>
      </c>
      <c r="R69" s="7" t="s">
        <v>47</v>
      </c>
      <c r="S69" s="7" t="s">
        <v>53</v>
      </c>
      <c r="T69" s="7" t="s">
        <v>53</v>
      </c>
      <c r="U69" s="3" t="s">
        <v>47</v>
      </c>
      <c r="V69" s="4" t="s">
        <v>174</v>
      </c>
      <c r="W69" s="303">
        <f>'Plepys data'!AE14</f>
        <v>0.36163416313756663</v>
      </c>
      <c r="X69" s="2"/>
      <c r="Y69" s="2"/>
      <c r="Z69" s="2"/>
      <c r="AA69" s="2"/>
      <c r="AB69" s="2"/>
      <c r="AC69" s="2"/>
      <c r="AD69" s="2"/>
      <c r="AE69" s="2"/>
      <c r="AF69" s="2"/>
      <c r="AG69" s="2"/>
    </row>
    <row r="70" spans="1:33" s="34" customFormat="1" ht="47.25" x14ac:dyDescent="0.25">
      <c r="A70" s="2"/>
      <c r="B70" s="6" t="s">
        <v>169</v>
      </c>
      <c r="C70" s="7" t="s">
        <v>170</v>
      </c>
      <c r="D70" s="3">
        <v>1997</v>
      </c>
      <c r="E70" s="81" t="s">
        <v>171</v>
      </c>
      <c r="F70" s="7" t="s">
        <v>51</v>
      </c>
      <c r="G70" s="7" t="s">
        <v>58</v>
      </c>
      <c r="H70" s="7" t="s">
        <v>47</v>
      </c>
      <c r="I70" s="7" t="s">
        <v>74</v>
      </c>
      <c r="J70" s="7" t="s">
        <v>58</v>
      </c>
      <c r="K70" s="7">
        <v>150</v>
      </c>
      <c r="L70" s="7" t="s">
        <v>74</v>
      </c>
      <c r="M70" s="7" t="s">
        <v>74</v>
      </c>
      <c r="N70" s="7" t="s">
        <v>74</v>
      </c>
      <c r="O70" s="7" t="s">
        <v>59</v>
      </c>
      <c r="P70" s="3" t="s">
        <v>173</v>
      </c>
      <c r="Q70" s="7" t="s">
        <v>74</v>
      </c>
      <c r="R70" s="7" t="s">
        <v>47</v>
      </c>
      <c r="S70" s="7" t="s">
        <v>53</v>
      </c>
      <c r="T70" s="7" t="s">
        <v>53</v>
      </c>
      <c r="U70" s="3" t="s">
        <v>47</v>
      </c>
      <c r="V70" s="4" t="s">
        <v>174</v>
      </c>
      <c r="W70" s="303">
        <f>'Plepys data'!AE15</f>
        <v>0.63817793494864694</v>
      </c>
      <c r="X70" s="2"/>
      <c r="Y70" s="2"/>
      <c r="Z70" s="2"/>
      <c r="AA70" s="2"/>
      <c r="AB70" s="2"/>
      <c r="AC70" s="2"/>
      <c r="AD70" s="2"/>
      <c r="AE70" s="2"/>
      <c r="AF70" s="2"/>
      <c r="AG70" s="2"/>
    </row>
    <row r="71" spans="1:33" s="34" customFormat="1" ht="47.25" x14ac:dyDescent="0.25">
      <c r="A71" s="2"/>
      <c r="B71" s="6" t="s">
        <v>169</v>
      </c>
      <c r="C71" s="7" t="s">
        <v>170</v>
      </c>
      <c r="D71" s="3">
        <v>1997</v>
      </c>
      <c r="E71" s="81" t="s">
        <v>171</v>
      </c>
      <c r="F71" s="7" t="s">
        <v>51</v>
      </c>
      <c r="G71" s="7" t="s">
        <v>58</v>
      </c>
      <c r="H71" s="7" t="s">
        <v>47</v>
      </c>
      <c r="I71" s="7" t="s">
        <v>74</v>
      </c>
      <c r="J71" s="7" t="s">
        <v>58</v>
      </c>
      <c r="K71" s="7">
        <v>200</v>
      </c>
      <c r="L71" s="7" t="s">
        <v>74</v>
      </c>
      <c r="M71" s="7" t="s">
        <v>74</v>
      </c>
      <c r="N71" s="7" t="s">
        <v>74</v>
      </c>
      <c r="O71" s="7" t="s">
        <v>48</v>
      </c>
      <c r="P71" s="3" t="s">
        <v>173</v>
      </c>
      <c r="Q71" s="7" t="s">
        <v>74</v>
      </c>
      <c r="R71" s="7" t="s">
        <v>47</v>
      </c>
      <c r="S71" s="7" t="s">
        <v>53</v>
      </c>
      <c r="T71" s="7" t="s">
        <v>53</v>
      </c>
      <c r="U71" s="3" t="s">
        <v>47</v>
      </c>
      <c r="V71" s="4" t="s">
        <v>174</v>
      </c>
      <c r="W71" s="303">
        <f>'Plepys data'!AE16</f>
        <v>0.99272123214233965</v>
      </c>
      <c r="X71" s="2"/>
      <c r="Y71" s="2"/>
      <c r="Z71" s="2"/>
      <c r="AA71" s="2"/>
      <c r="AB71" s="2"/>
      <c r="AC71" s="2"/>
      <c r="AD71" s="2"/>
      <c r="AE71" s="2"/>
      <c r="AF71" s="2"/>
      <c r="AG71" s="2"/>
    </row>
    <row r="72" spans="1:33" s="34" customFormat="1" ht="47.25" x14ac:dyDescent="0.25">
      <c r="A72" s="6"/>
      <c r="B72" s="6" t="s">
        <v>169</v>
      </c>
      <c r="C72" s="7" t="s">
        <v>170</v>
      </c>
      <c r="D72" s="3">
        <v>1997</v>
      </c>
      <c r="E72" s="81" t="s">
        <v>171</v>
      </c>
      <c r="F72" s="7" t="s">
        <v>51</v>
      </c>
      <c r="G72" s="7" t="s">
        <v>58</v>
      </c>
      <c r="H72" s="7" t="s">
        <v>47</v>
      </c>
      <c r="I72" s="7" t="s">
        <v>74</v>
      </c>
      <c r="J72" s="7" t="s">
        <v>58</v>
      </c>
      <c r="K72" s="7">
        <v>200</v>
      </c>
      <c r="L72" s="7" t="s">
        <v>74</v>
      </c>
      <c r="M72" s="7" t="s">
        <v>74</v>
      </c>
      <c r="N72" s="7" t="s">
        <v>74</v>
      </c>
      <c r="O72" s="7" t="s">
        <v>48</v>
      </c>
      <c r="P72" s="3" t="s">
        <v>173</v>
      </c>
      <c r="Q72" s="7" t="s">
        <v>74</v>
      </c>
      <c r="R72" s="7" t="s">
        <v>47</v>
      </c>
      <c r="S72" s="7" t="s">
        <v>53</v>
      </c>
      <c r="T72" s="7" t="s">
        <v>53</v>
      </c>
      <c r="U72" s="3" t="s">
        <v>47</v>
      </c>
      <c r="V72" s="4" t="s">
        <v>174</v>
      </c>
      <c r="W72" s="303">
        <f>'Plepys data'!AE17</f>
        <v>1.2550832720656724</v>
      </c>
      <c r="X72" s="2"/>
      <c r="Y72" s="2"/>
      <c r="Z72" s="2"/>
      <c r="AA72" s="2"/>
      <c r="AB72" s="2"/>
      <c r="AC72" s="2"/>
      <c r="AD72" s="2"/>
      <c r="AE72" s="2"/>
      <c r="AF72" s="2"/>
      <c r="AG72" s="2"/>
    </row>
    <row r="73" spans="1:33" s="34" customFormat="1" ht="47.25" x14ac:dyDescent="0.25">
      <c r="A73" s="6"/>
      <c r="B73" s="6" t="s">
        <v>169</v>
      </c>
      <c r="C73" s="7" t="s">
        <v>170</v>
      </c>
      <c r="D73" s="3">
        <v>1997</v>
      </c>
      <c r="E73" s="81" t="s">
        <v>171</v>
      </c>
      <c r="F73" s="7" t="s">
        <v>51</v>
      </c>
      <c r="G73" s="7" t="s">
        <v>58</v>
      </c>
      <c r="H73" s="7" t="s">
        <v>47</v>
      </c>
      <c r="I73" s="7" t="s">
        <v>74</v>
      </c>
      <c r="J73" s="7" t="s">
        <v>58</v>
      </c>
      <c r="K73" s="7" t="s">
        <v>74</v>
      </c>
      <c r="L73" s="7" t="s">
        <v>74</v>
      </c>
      <c r="M73" s="7" t="s">
        <v>74</v>
      </c>
      <c r="N73" s="7" t="s">
        <v>74</v>
      </c>
      <c r="O73" s="7" t="s">
        <v>48</v>
      </c>
      <c r="P73" s="3" t="s">
        <v>173</v>
      </c>
      <c r="Q73" s="7" t="s">
        <v>74</v>
      </c>
      <c r="R73" s="7" t="s">
        <v>47</v>
      </c>
      <c r="S73" s="7" t="s">
        <v>53</v>
      </c>
      <c r="T73" s="7" t="s">
        <v>53</v>
      </c>
      <c r="U73" s="3" t="s">
        <v>47</v>
      </c>
      <c r="V73" s="4" t="s">
        <v>174</v>
      </c>
      <c r="W73" s="303">
        <f>'Plepys data'!AE18</f>
        <v>0.56726927550990847</v>
      </c>
      <c r="X73" s="2"/>
      <c r="Y73" s="2"/>
      <c r="Z73" s="2"/>
      <c r="AA73" s="2"/>
      <c r="AB73" s="2"/>
      <c r="AC73" s="2"/>
      <c r="AD73" s="2"/>
      <c r="AE73" s="2"/>
      <c r="AF73" s="2"/>
      <c r="AG73" s="2"/>
    </row>
    <row r="74" spans="1:33" s="34" customFormat="1" ht="47.25" x14ac:dyDescent="0.25">
      <c r="A74" s="6"/>
      <c r="B74" s="6" t="s">
        <v>169</v>
      </c>
      <c r="C74" s="7" t="s">
        <v>170</v>
      </c>
      <c r="D74" s="3">
        <v>1997</v>
      </c>
      <c r="E74" s="81" t="s">
        <v>171</v>
      </c>
      <c r="F74" s="7" t="s">
        <v>51</v>
      </c>
      <c r="G74" s="7" t="s">
        <v>58</v>
      </c>
      <c r="H74" s="7" t="s">
        <v>47</v>
      </c>
      <c r="I74" s="7" t="s">
        <v>74</v>
      </c>
      <c r="J74" s="7" t="s">
        <v>58</v>
      </c>
      <c r="K74" s="7" t="s">
        <v>74</v>
      </c>
      <c r="L74" s="7" t="s">
        <v>74</v>
      </c>
      <c r="M74" s="7" t="s">
        <v>74</v>
      </c>
      <c r="N74" s="7" t="s">
        <v>74</v>
      </c>
      <c r="O74" s="7" t="s">
        <v>48</v>
      </c>
      <c r="P74" s="3" t="s">
        <v>173</v>
      </c>
      <c r="Q74" s="7" t="s">
        <v>74</v>
      </c>
      <c r="R74" s="7" t="s">
        <v>47</v>
      </c>
      <c r="S74" s="7" t="s">
        <v>53</v>
      </c>
      <c r="T74" s="7" t="s">
        <v>53</v>
      </c>
      <c r="U74" s="3" t="s">
        <v>47</v>
      </c>
      <c r="V74" s="4" t="s">
        <v>174</v>
      </c>
      <c r="W74" s="303">
        <f>'Plepys data'!AE19</f>
        <v>1.1345385510198169</v>
      </c>
      <c r="X74" s="2"/>
      <c r="Y74" s="2"/>
      <c r="Z74" s="2"/>
      <c r="AA74" s="2"/>
      <c r="AB74" s="2"/>
      <c r="AC74" s="2"/>
      <c r="AD74" s="2"/>
      <c r="AE74" s="2"/>
      <c r="AF74" s="2"/>
      <c r="AG74" s="2"/>
    </row>
    <row r="75" spans="1:33" s="34" customFormat="1" ht="47.25" x14ac:dyDescent="0.25">
      <c r="A75" s="6"/>
      <c r="B75" s="6" t="s">
        <v>169</v>
      </c>
      <c r="C75" s="7" t="s">
        <v>170</v>
      </c>
      <c r="D75" s="3">
        <v>1998</v>
      </c>
      <c r="E75" s="81" t="s">
        <v>171</v>
      </c>
      <c r="F75" s="7" t="s">
        <v>51</v>
      </c>
      <c r="G75" s="7" t="s">
        <v>58</v>
      </c>
      <c r="H75" s="7" t="s">
        <v>47</v>
      </c>
      <c r="I75" s="7" t="s">
        <v>74</v>
      </c>
      <c r="J75" s="7" t="s">
        <v>58</v>
      </c>
      <c r="K75" s="7" t="s">
        <v>74</v>
      </c>
      <c r="L75" s="7" t="s">
        <v>74</v>
      </c>
      <c r="M75" s="7" t="s">
        <v>74</v>
      </c>
      <c r="N75" s="7" t="s">
        <v>74</v>
      </c>
      <c r="O75" s="7" t="s">
        <v>48</v>
      </c>
      <c r="P75" s="3" t="s">
        <v>173</v>
      </c>
      <c r="Q75" s="7" t="s">
        <v>74</v>
      </c>
      <c r="R75" s="7" t="s">
        <v>47</v>
      </c>
      <c r="S75" s="7" t="s">
        <v>53</v>
      </c>
      <c r="T75" s="7" t="s">
        <v>53</v>
      </c>
      <c r="U75" s="3" t="s">
        <v>47</v>
      </c>
      <c r="V75" s="4" t="s">
        <v>174</v>
      </c>
      <c r="W75" s="303">
        <f>'Plepys data'!AE20</f>
        <v>0.81544958354549324</v>
      </c>
      <c r="X75" s="2"/>
      <c r="Y75" s="2"/>
      <c r="Z75" s="2"/>
      <c r="AA75" s="2"/>
      <c r="AB75" s="2"/>
      <c r="AC75" s="2"/>
      <c r="AD75" s="2"/>
      <c r="AE75" s="2"/>
      <c r="AF75" s="2"/>
      <c r="AG75" s="2"/>
    </row>
    <row r="76" spans="1:33" s="34" customFormat="1" ht="47.25" x14ac:dyDescent="0.25">
      <c r="A76" s="6"/>
      <c r="B76" s="6" t="s">
        <v>169</v>
      </c>
      <c r="C76" s="7" t="s">
        <v>170</v>
      </c>
      <c r="D76" s="3">
        <v>1998</v>
      </c>
      <c r="E76" s="81" t="s">
        <v>171</v>
      </c>
      <c r="F76" s="7" t="s">
        <v>51</v>
      </c>
      <c r="G76" s="7" t="s">
        <v>58</v>
      </c>
      <c r="H76" s="7" t="s">
        <v>47</v>
      </c>
      <c r="I76" s="7" t="s">
        <v>74</v>
      </c>
      <c r="J76" s="7" t="s">
        <v>58</v>
      </c>
      <c r="K76" s="7">
        <v>200</v>
      </c>
      <c r="L76" s="7" t="s">
        <v>74</v>
      </c>
      <c r="M76" s="7" t="s">
        <v>74</v>
      </c>
      <c r="N76" s="7" t="s">
        <v>74</v>
      </c>
      <c r="O76" s="7" t="s">
        <v>65</v>
      </c>
      <c r="P76" s="3" t="s">
        <v>173</v>
      </c>
      <c r="Q76" s="7" t="s">
        <v>74</v>
      </c>
      <c r="R76" s="7" t="s">
        <v>47</v>
      </c>
      <c r="S76" s="7" t="s">
        <v>53</v>
      </c>
      <c r="T76" s="7" t="s">
        <v>53</v>
      </c>
      <c r="U76" s="3" t="s">
        <v>47</v>
      </c>
      <c r="V76" s="4" t="s">
        <v>174</v>
      </c>
      <c r="W76" s="303">
        <f>'Plepys data'!AE21</f>
        <v>1.1061750872443215</v>
      </c>
      <c r="X76" s="2"/>
      <c r="Y76" s="2"/>
      <c r="Z76" s="2"/>
      <c r="AA76" s="2"/>
      <c r="AB76" s="2"/>
      <c r="AC76" s="2"/>
      <c r="AD76" s="2"/>
      <c r="AE76" s="2"/>
      <c r="AF76" s="2"/>
      <c r="AG76" s="2"/>
    </row>
    <row r="77" spans="1:33" s="34" customFormat="1" ht="47.25" x14ac:dyDescent="0.25">
      <c r="A77" s="6"/>
      <c r="B77" s="6" t="s">
        <v>169</v>
      </c>
      <c r="C77" s="7" t="s">
        <v>170</v>
      </c>
      <c r="D77" s="3">
        <v>1996</v>
      </c>
      <c r="E77" s="81" t="s">
        <v>171</v>
      </c>
      <c r="F77" s="7" t="s">
        <v>51</v>
      </c>
      <c r="G77" s="7" t="s">
        <v>58</v>
      </c>
      <c r="H77" s="7" t="s">
        <v>47</v>
      </c>
      <c r="I77" s="7" t="s">
        <v>74</v>
      </c>
      <c r="J77" s="7" t="s">
        <v>58</v>
      </c>
      <c r="K77" s="7">
        <v>200</v>
      </c>
      <c r="L77" s="7" t="s">
        <v>74</v>
      </c>
      <c r="M77" s="7" t="s">
        <v>74</v>
      </c>
      <c r="N77" s="7" t="s">
        <v>74</v>
      </c>
      <c r="O77" s="7" t="s">
        <v>48</v>
      </c>
      <c r="P77" s="3" t="s">
        <v>173</v>
      </c>
      <c r="Q77" s="7" t="s">
        <v>74</v>
      </c>
      <c r="R77" s="7" t="s">
        <v>47</v>
      </c>
      <c r="S77" s="7" t="s">
        <v>53</v>
      </c>
      <c r="T77" s="7" t="s">
        <v>53</v>
      </c>
      <c r="U77" s="3" t="s">
        <v>47</v>
      </c>
      <c r="V77" s="4" t="s">
        <v>174</v>
      </c>
      <c r="W77" s="303">
        <f>'Plepys data'!AE22</f>
        <v>1.077811623468826</v>
      </c>
      <c r="X77" s="2"/>
      <c r="Y77" s="2"/>
      <c r="Z77" s="2"/>
      <c r="AA77" s="2"/>
      <c r="AB77" s="2"/>
      <c r="AC77" s="2"/>
      <c r="AD77" s="2"/>
      <c r="AE77" s="2"/>
      <c r="AF77" s="2"/>
      <c r="AG77" s="2"/>
    </row>
    <row r="78" spans="1:33" s="34" customFormat="1" ht="47.25" x14ac:dyDescent="0.25">
      <c r="A78" s="6"/>
      <c r="B78" s="6" t="s">
        <v>169</v>
      </c>
      <c r="C78" s="7" t="s">
        <v>170</v>
      </c>
      <c r="D78" s="3">
        <v>1999</v>
      </c>
      <c r="E78" s="81" t="s">
        <v>171</v>
      </c>
      <c r="F78" s="7" t="s">
        <v>51</v>
      </c>
      <c r="G78" s="7" t="s">
        <v>58</v>
      </c>
      <c r="H78" s="7" t="s">
        <v>47</v>
      </c>
      <c r="I78" s="7" t="s">
        <v>74</v>
      </c>
      <c r="J78" s="7" t="s">
        <v>58</v>
      </c>
      <c r="K78" s="7">
        <v>200</v>
      </c>
      <c r="L78" s="7" t="s">
        <v>74</v>
      </c>
      <c r="M78" s="7" t="s">
        <v>74</v>
      </c>
      <c r="N78" s="7" t="s">
        <v>74</v>
      </c>
      <c r="O78" s="7" t="s">
        <v>65</v>
      </c>
      <c r="P78" s="3" t="s">
        <v>173</v>
      </c>
      <c r="Q78" s="7" t="s">
        <v>74</v>
      </c>
      <c r="R78" s="7" t="s">
        <v>47</v>
      </c>
      <c r="S78" s="7" t="s">
        <v>53</v>
      </c>
      <c r="T78" s="7" t="s">
        <v>53</v>
      </c>
      <c r="U78" s="3" t="s">
        <v>47</v>
      </c>
      <c r="V78" s="4" t="s">
        <v>174</v>
      </c>
      <c r="W78" s="303">
        <f>'Plepys data'!AE23</f>
        <v>0.95726690242297041</v>
      </c>
      <c r="X78" s="2"/>
      <c r="Y78" s="2"/>
      <c r="Z78" s="2"/>
      <c r="AA78" s="2"/>
      <c r="AB78" s="2"/>
      <c r="AC78" s="2"/>
      <c r="AD78" s="2"/>
      <c r="AE78" s="2"/>
      <c r="AF78" s="2"/>
      <c r="AG78" s="2"/>
    </row>
    <row r="79" spans="1:33" s="34" customFormat="1" ht="47.25" x14ac:dyDescent="0.25">
      <c r="A79" s="6"/>
      <c r="B79" s="6" t="s">
        <v>169</v>
      </c>
      <c r="C79" s="7" t="s">
        <v>170</v>
      </c>
      <c r="D79" s="3">
        <v>2000</v>
      </c>
      <c r="E79" s="81" t="s">
        <v>171</v>
      </c>
      <c r="F79" s="7" t="s">
        <v>51</v>
      </c>
      <c r="G79" s="7" t="s">
        <v>58</v>
      </c>
      <c r="H79" s="7" t="s">
        <v>47</v>
      </c>
      <c r="I79" s="7" t="s">
        <v>74</v>
      </c>
      <c r="J79" s="7" t="s">
        <v>58</v>
      </c>
      <c r="K79" s="7">
        <v>200</v>
      </c>
      <c r="L79" s="7" t="s">
        <v>74</v>
      </c>
      <c r="M79" s="7" t="s">
        <v>74</v>
      </c>
      <c r="N79" s="7" t="s">
        <v>74</v>
      </c>
      <c r="O79" s="7" t="s">
        <v>65</v>
      </c>
      <c r="P79" s="3" t="s">
        <v>173</v>
      </c>
      <c r="Q79" s="7" t="s">
        <v>74</v>
      </c>
      <c r="R79" s="7" t="s">
        <v>47</v>
      </c>
      <c r="S79" s="7" t="s">
        <v>53</v>
      </c>
      <c r="T79" s="7" t="s">
        <v>53</v>
      </c>
      <c r="U79" s="3" t="s">
        <v>47</v>
      </c>
      <c r="V79" s="4" t="s">
        <v>174</v>
      </c>
      <c r="W79" s="303">
        <f>'Plepys data'!AE24</f>
        <v>0.87217651109648409</v>
      </c>
      <c r="X79" s="2"/>
      <c r="Y79" s="2"/>
      <c r="Z79" s="2"/>
      <c r="AA79" s="2"/>
      <c r="AB79" s="2"/>
      <c r="AC79" s="2"/>
      <c r="AD79" s="2"/>
      <c r="AE79" s="2"/>
      <c r="AF79" s="2"/>
      <c r="AG79" s="2"/>
    </row>
    <row r="80" spans="1:33" s="34" customFormat="1" ht="47.25" x14ac:dyDescent="0.25">
      <c r="A80" s="2"/>
      <c r="B80" s="6" t="s">
        <v>169</v>
      </c>
      <c r="C80" s="7" t="s">
        <v>170</v>
      </c>
      <c r="D80" s="3">
        <v>2000</v>
      </c>
      <c r="E80" s="81" t="s">
        <v>171</v>
      </c>
      <c r="F80" s="7" t="s">
        <v>51</v>
      </c>
      <c r="G80" s="7" t="s">
        <v>58</v>
      </c>
      <c r="H80" s="7" t="s">
        <v>47</v>
      </c>
      <c r="I80" s="7" t="s">
        <v>74</v>
      </c>
      <c r="J80" s="7" t="s">
        <v>58</v>
      </c>
      <c r="K80" s="7">
        <v>200</v>
      </c>
      <c r="L80" s="7" t="s">
        <v>74</v>
      </c>
      <c r="M80" s="7" t="s">
        <v>74</v>
      </c>
      <c r="N80" s="7" t="s">
        <v>74</v>
      </c>
      <c r="O80" s="7" t="s">
        <v>65</v>
      </c>
      <c r="P80" s="3" t="s">
        <v>173</v>
      </c>
      <c r="Q80" s="7" t="s">
        <v>74</v>
      </c>
      <c r="R80" s="7" t="s">
        <v>47</v>
      </c>
      <c r="S80" s="7" t="s">
        <v>53</v>
      </c>
      <c r="T80" s="7" t="s">
        <v>53</v>
      </c>
      <c r="U80" s="3" t="s">
        <v>47</v>
      </c>
      <c r="V80" s="4" t="s">
        <v>174</v>
      </c>
      <c r="W80" s="303">
        <f>'Plepys data'!AE25</f>
        <v>0.84381304732098861</v>
      </c>
      <c r="X80" s="2"/>
      <c r="Y80" s="2"/>
      <c r="Z80" s="2"/>
      <c r="AA80" s="2"/>
      <c r="AB80" s="2"/>
      <c r="AC80" s="2"/>
      <c r="AD80" s="2"/>
      <c r="AE80" s="2"/>
      <c r="AF80" s="2"/>
      <c r="AG80" s="2"/>
    </row>
    <row r="81" spans="1:33" s="34" customFormat="1" ht="47.25" x14ac:dyDescent="0.25">
      <c r="A81" s="2"/>
      <c r="B81" s="6" t="s">
        <v>169</v>
      </c>
      <c r="C81" s="7" t="s">
        <v>170</v>
      </c>
      <c r="D81" s="3">
        <v>2001</v>
      </c>
      <c r="E81" s="81" t="s">
        <v>171</v>
      </c>
      <c r="F81" s="7" t="s">
        <v>51</v>
      </c>
      <c r="G81" s="7" t="s">
        <v>58</v>
      </c>
      <c r="H81" s="7" t="s">
        <v>47</v>
      </c>
      <c r="I81" s="7" t="s">
        <v>74</v>
      </c>
      <c r="J81" s="7" t="s">
        <v>58</v>
      </c>
      <c r="K81" s="7">
        <v>300</v>
      </c>
      <c r="L81" s="7" t="s">
        <v>74</v>
      </c>
      <c r="M81" s="7" t="s">
        <v>74</v>
      </c>
      <c r="N81" s="7" t="s">
        <v>74</v>
      </c>
      <c r="O81" s="7" t="s">
        <v>48</v>
      </c>
      <c r="P81" s="3" t="s">
        <v>173</v>
      </c>
      <c r="Q81" s="7" t="s">
        <v>74</v>
      </c>
      <c r="R81" s="7" t="s">
        <v>47</v>
      </c>
      <c r="S81" s="7" t="s">
        <v>53</v>
      </c>
      <c r="T81" s="7" t="s">
        <v>53</v>
      </c>
      <c r="U81" s="3" t="s">
        <v>47</v>
      </c>
      <c r="V81" s="4" t="s">
        <v>174</v>
      </c>
      <c r="W81" s="303">
        <f>'Plepys data'!AE26</f>
        <v>1.4039914568870233</v>
      </c>
      <c r="X81" s="2"/>
      <c r="Y81" s="2"/>
      <c r="Z81" s="2"/>
      <c r="AA81" s="2"/>
      <c r="AB81" s="2"/>
      <c r="AC81" s="2"/>
      <c r="AD81" s="2"/>
      <c r="AE81" s="2"/>
      <c r="AF81" s="2"/>
      <c r="AG81" s="2"/>
    </row>
    <row r="82" spans="1:33" s="34" customFormat="1" ht="47.25" x14ac:dyDescent="0.25">
      <c r="A82" s="2"/>
      <c r="B82" s="6" t="s">
        <v>169</v>
      </c>
      <c r="C82" s="7" t="s">
        <v>170</v>
      </c>
      <c r="D82" s="3">
        <v>2002</v>
      </c>
      <c r="E82" s="81" t="s">
        <v>171</v>
      </c>
      <c r="F82" s="7" t="s">
        <v>51</v>
      </c>
      <c r="G82" s="7" t="s">
        <v>58</v>
      </c>
      <c r="H82" s="7" t="s">
        <v>47</v>
      </c>
      <c r="I82" s="7" t="s">
        <v>74</v>
      </c>
      <c r="J82" s="7" t="s">
        <v>58</v>
      </c>
      <c r="K82" s="7">
        <v>300</v>
      </c>
      <c r="L82" s="7" t="s">
        <v>74</v>
      </c>
      <c r="M82" s="7" t="s">
        <v>74</v>
      </c>
      <c r="N82" s="7" t="s">
        <v>74</v>
      </c>
      <c r="O82" s="7" t="s">
        <v>65</v>
      </c>
      <c r="P82" s="3" t="s">
        <v>173</v>
      </c>
      <c r="Q82" s="7" t="s">
        <v>74</v>
      </c>
      <c r="R82" s="7" t="s">
        <v>47</v>
      </c>
      <c r="S82" s="7" t="s">
        <v>53</v>
      </c>
      <c r="T82" s="7" t="s">
        <v>53</v>
      </c>
      <c r="U82" s="3" t="s">
        <v>47</v>
      </c>
      <c r="V82" s="4" t="s">
        <v>174</v>
      </c>
      <c r="W82" s="303">
        <f>'Plepys data'!AE27</f>
        <v>0.35454329719369276</v>
      </c>
      <c r="X82" s="2"/>
      <c r="Y82" s="2"/>
      <c r="Z82" s="2"/>
      <c r="AA82" s="2"/>
      <c r="AB82" s="2"/>
      <c r="AC82" s="2"/>
      <c r="AD82" s="2"/>
      <c r="AE82" s="2"/>
      <c r="AF82" s="2"/>
      <c r="AG82" s="2"/>
    </row>
    <row r="83" spans="1:33" s="34" customFormat="1" ht="47.25" x14ac:dyDescent="0.25">
      <c r="A83" s="2"/>
      <c r="B83" s="6" t="s">
        <v>169</v>
      </c>
      <c r="C83" s="7" t="s">
        <v>170</v>
      </c>
      <c r="D83" s="3">
        <v>2002</v>
      </c>
      <c r="E83" s="81" t="s">
        <v>171</v>
      </c>
      <c r="F83" s="7" t="s">
        <v>51</v>
      </c>
      <c r="G83" s="7" t="s">
        <v>58</v>
      </c>
      <c r="H83" s="7" t="s">
        <v>47</v>
      </c>
      <c r="I83" s="7" t="s">
        <v>74</v>
      </c>
      <c r="J83" s="7" t="s">
        <v>58</v>
      </c>
      <c r="K83" s="7">
        <v>300</v>
      </c>
      <c r="L83" s="7" t="s">
        <v>74</v>
      </c>
      <c r="M83" s="7" t="s">
        <v>74</v>
      </c>
      <c r="N83" s="7" t="s">
        <v>74</v>
      </c>
      <c r="O83" s="7" t="s">
        <v>65</v>
      </c>
      <c r="P83" s="3" t="s">
        <v>173</v>
      </c>
      <c r="Q83" s="7" t="s">
        <v>74</v>
      </c>
      <c r="R83" s="7" t="s">
        <v>47</v>
      </c>
      <c r="S83" s="7" t="s">
        <v>53</v>
      </c>
      <c r="T83" s="7" t="s">
        <v>53</v>
      </c>
      <c r="U83" s="3" t="s">
        <v>47</v>
      </c>
      <c r="V83" s="4" t="s">
        <v>174</v>
      </c>
      <c r="W83" s="303">
        <f>'Plepys data'!AE28</f>
        <v>0.49636061607116982</v>
      </c>
      <c r="X83" s="2"/>
      <c r="Y83" s="2"/>
      <c r="Z83" s="2"/>
      <c r="AA83" s="2"/>
      <c r="AB83" s="2"/>
      <c r="AC83" s="2"/>
      <c r="AD83" s="2"/>
      <c r="AE83" s="2"/>
      <c r="AF83" s="2"/>
      <c r="AG83" s="2"/>
    </row>
    <row r="84" spans="1:33" s="34" customFormat="1" ht="47.25" x14ac:dyDescent="0.25">
      <c r="A84" s="2"/>
      <c r="B84" s="6" t="s">
        <v>169</v>
      </c>
      <c r="C84" s="7" t="s">
        <v>170</v>
      </c>
      <c r="D84" s="3">
        <v>2002</v>
      </c>
      <c r="E84" s="81" t="s">
        <v>171</v>
      </c>
      <c r="F84" s="7" t="s">
        <v>51</v>
      </c>
      <c r="G84" s="7" t="s">
        <v>58</v>
      </c>
      <c r="H84" s="7" t="s">
        <v>47</v>
      </c>
      <c r="I84" s="7" t="s">
        <v>74</v>
      </c>
      <c r="J84" s="7" t="s">
        <v>58</v>
      </c>
      <c r="K84" s="7">
        <v>300</v>
      </c>
      <c r="L84" s="7" t="s">
        <v>74</v>
      </c>
      <c r="M84" s="7" t="s">
        <v>74</v>
      </c>
      <c r="N84" s="7" t="s">
        <v>74</v>
      </c>
      <c r="O84" s="7" t="s">
        <v>65</v>
      </c>
      <c r="P84" s="3" t="s">
        <v>173</v>
      </c>
      <c r="Q84" s="7" t="s">
        <v>74</v>
      </c>
      <c r="R84" s="7" t="s">
        <v>47</v>
      </c>
      <c r="S84" s="7" t="s">
        <v>53</v>
      </c>
      <c r="T84" s="7" t="s">
        <v>53</v>
      </c>
      <c r="U84" s="3" t="s">
        <v>47</v>
      </c>
      <c r="V84" s="4" t="s">
        <v>174</v>
      </c>
      <c r="W84" s="303">
        <f>'Plepys data'!AE29</f>
        <v>1.3047193336727894</v>
      </c>
      <c r="X84" s="2"/>
      <c r="Y84" s="2"/>
      <c r="Z84" s="2"/>
      <c r="AA84" s="2"/>
      <c r="AB84" s="2"/>
      <c r="AC84" s="2"/>
      <c r="AD84" s="2"/>
      <c r="AE84" s="2"/>
      <c r="AF84" s="2"/>
      <c r="AG84" s="2"/>
    </row>
    <row r="85" spans="1:33" s="34" customFormat="1" ht="47.25" x14ac:dyDescent="0.25">
      <c r="A85" s="2"/>
      <c r="B85" s="6" t="s">
        <v>169</v>
      </c>
      <c r="C85" s="7" t="s">
        <v>170</v>
      </c>
      <c r="D85" s="3">
        <v>2002</v>
      </c>
      <c r="E85" s="81" t="s">
        <v>171</v>
      </c>
      <c r="F85" s="7" t="s">
        <v>51</v>
      </c>
      <c r="G85" s="7" t="s">
        <v>58</v>
      </c>
      <c r="H85" s="7" t="s">
        <v>47</v>
      </c>
      <c r="I85" s="7" t="s">
        <v>74</v>
      </c>
      <c r="J85" s="7" t="s">
        <v>58</v>
      </c>
      <c r="K85" s="7">
        <v>200</v>
      </c>
      <c r="L85" s="7" t="s">
        <v>74</v>
      </c>
      <c r="M85" s="7" t="s">
        <v>74</v>
      </c>
      <c r="N85" s="7" t="s">
        <v>74</v>
      </c>
      <c r="O85" s="7" t="s">
        <v>48</v>
      </c>
      <c r="P85" s="3" t="s">
        <v>173</v>
      </c>
      <c r="Q85" s="7" t="s">
        <v>74</v>
      </c>
      <c r="R85" s="7" t="s">
        <v>47</v>
      </c>
      <c r="S85" s="7" t="s">
        <v>53</v>
      </c>
      <c r="T85" s="7" t="s">
        <v>53</v>
      </c>
      <c r="U85" s="3" t="s">
        <v>47</v>
      </c>
      <c r="V85" s="4" t="s">
        <v>174</v>
      </c>
      <c r="W85" s="303">
        <f>'Plepys data'!AE31</f>
        <v>2.4250761528048583</v>
      </c>
      <c r="X85" s="2"/>
      <c r="Y85" s="2"/>
      <c r="Z85" s="2"/>
      <c r="AA85" s="2"/>
      <c r="AB85" s="2"/>
      <c r="AC85" s="2"/>
      <c r="AD85" s="2"/>
      <c r="AE85" s="2"/>
      <c r="AF85" s="2"/>
      <c r="AG85" s="2"/>
    </row>
    <row r="86" spans="1:33" s="34" customFormat="1" ht="47.25" x14ac:dyDescent="0.25">
      <c r="A86" s="2"/>
      <c r="B86" s="6" t="s">
        <v>169</v>
      </c>
      <c r="C86" s="7" t="s">
        <v>170</v>
      </c>
      <c r="D86" s="3">
        <v>2003</v>
      </c>
      <c r="E86" s="81" t="s">
        <v>171</v>
      </c>
      <c r="F86" s="7" t="s">
        <v>51</v>
      </c>
      <c r="G86" s="7" t="s">
        <v>58</v>
      </c>
      <c r="H86" s="7" t="s">
        <v>47</v>
      </c>
      <c r="I86" s="7" t="s">
        <v>74</v>
      </c>
      <c r="J86" s="7" t="s">
        <v>58</v>
      </c>
      <c r="K86" s="7">
        <v>200</v>
      </c>
      <c r="L86" s="7" t="s">
        <v>74</v>
      </c>
      <c r="M86" s="7" t="s">
        <v>74</v>
      </c>
      <c r="N86" s="7" t="s">
        <v>74</v>
      </c>
      <c r="O86" s="7" t="s">
        <v>48</v>
      </c>
      <c r="P86" s="3" t="s">
        <v>173</v>
      </c>
      <c r="Q86" s="7" t="s">
        <v>74</v>
      </c>
      <c r="R86" s="7" t="s">
        <v>47</v>
      </c>
      <c r="S86" s="7" t="s">
        <v>53</v>
      </c>
      <c r="T86" s="7" t="s">
        <v>53</v>
      </c>
      <c r="U86" s="3" t="s">
        <v>47</v>
      </c>
      <c r="V86" s="4" t="s">
        <v>174</v>
      </c>
      <c r="W86" s="303">
        <f>'Plepys data'!AE33</f>
        <v>1.2692650039534201</v>
      </c>
      <c r="X86" s="2"/>
      <c r="Y86" s="2"/>
      <c r="Z86" s="2"/>
      <c r="AA86" s="2"/>
      <c r="AB86" s="2"/>
      <c r="AC86" s="2"/>
      <c r="AD86" s="2"/>
      <c r="AE86" s="2"/>
      <c r="AF86" s="2"/>
      <c r="AG86" s="2"/>
    </row>
    <row r="87" spans="1:33" s="34" customFormat="1" ht="47.25" x14ac:dyDescent="0.25">
      <c r="A87" s="2"/>
      <c r="B87" s="6" t="s">
        <v>115</v>
      </c>
      <c r="C87" s="7" t="s">
        <v>116</v>
      </c>
      <c r="D87" s="3">
        <v>1995</v>
      </c>
      <c r="E87" s="355" t="s">
        <v>175</v>
      </c>
      <c r="F87" s="7" t="s">
        <v>51</v>
      </c>
      <c r="G87" s="7" t="s">
        <v>58</v>
      </c>
      <c r="H87" s="7" t="s">
        <v>47</v>
      </c>
      <c r="I87" s="7" t="s">
        <v>74</v>
      </c>
      <c r="J87" s="3" t="s">
        <v>74</v>
      </c>
      <c r="K87" s="3" t="s">
        <v>74</v>
      </c>
      <c r="L87" s="7" t="s">
        <v>47</v>
      </c>
      <c r="M87" s="3" t="s">
        <v>74</v>
      </c>
      <c r="N87" s="3" t="s">
        <v>74</v>
      </c>
      <c r="O87" s="3" t="s">
        <v>74</v>
      </c>
      <c r="P87" s="3" t="s">
        <v>118</v>
      </c>
      <c r="Q87" s="3" t="s">
        <v>74</v>
      </c>
      <c r="R87" s="7" t="s">
        <v>47</v>
      </c>
      <c r="S87" s="7" t="s">
        <v>53</v>
      </c>
      <c r="T87" s="7" t="s">
        <v>53</v>
      </c>
      <c r="U87" s="3" t="s">
        <v>47</v>
      </c>
      <c r="V87" s="4" t="s">
        <v>176</v>
      </c>
      <c r="W87" s="303">
        <f>'Ercan data'!I9</f>
        <v>1</v>
      </c>
      <c r="X87" s="2"/>
      <c r="Y87" s="2"/>
      <c r="Z87" s="2"/>
      <c r="AA87" s="2"/>
      <c r="AB87" s="2"/>
      <c r="AC87" s="2"/>
      <c r="AD87" s="2"/>
      <c r="AE87" s="2"/>
      <c r="AF87" s="2"/>
      <c r="AG87" s="2"/>
    </row>
    <row r="88" spans="1:33" s="34" customFormat="1" ht="47.25" x14ac:dyDescent="0.25">
      <c r="A88" s="2"/>
      <c r="B88" s="6" t="s">
        <v>115</v>
      </c>
      <c r="C88" s="7" t="s">
        <v>116</v>
      </c>
      <c r="D88" s="3">
        <v>1995</v>
      </c>
      <c r="E88" s="355" t="s">
        <v>175</v>
      </c>
      <c r="F88" s="7" t="s">
        <v>51</v>
      </c>
      <c r="G88" s="7" t="s">
        <v>58</v>
      </c>
      <c r="H88" s="7" t="s">
        <v>47</v>
      </c>
      <c r="I88" s="7" t="s">
        <v>74</v>
      </c>
      <c r="J88" s="3" t="s">
        <v>74</v>
      </c>
      <c r="K88" s="3" t="s">
        <v>74</v>
      </c>
      <c r="L88" s="7" t="s">
        <v>47</v>
      </c>
      <c r="M88" s="3" t="s">
        <v>74</v>
      </c>
      <c r="N88" s="3" t="s">
        <v>74</v>
      </c>
      <c r="O88" s="3" t="s">
        <v>74</v>
      </c>
      <c r="P88" s="3" t="s">
        <v>118</v>
      </c>
      <c r="Q88" s="3" t="s">
        <v>74</v>
      </c>
      <c r="R88" s="7" t="s">
        <v>47</v>
      </c>
      <c r="S88" s="7" t="s">
        <v>53</v>
      </c>
      <c r="T88" s="7" t="s">
        <v>53</v>
      </c>
      <c r="U88" s="3" t="s">
        <v>47</v>
      </c>
      <c r="V88" s="4" t="s">
        <v>176</v>
      </c>
      <c r="W88" s="303">
        <f>'Ercan data'!I10</f>
        <v>1.5</v>
      </c>
      <c r="X88" s="2"/>
      <c r="Y88" s="2"/>
      <c r="Z88" s="2"/>
      <c r="AA88" s="2"/>
      <c r="AB88" s="2"/>
      <c r="AC88" s="2"/>
      <c r="AD88" s="2"/>
      <c r="AE88" s="2"/>
      <c r="AF88" s="2"/>
      <c r="AG88" s="2"/>
    </row>
    <row r="89" spans="1:33" s="34" customFormat="1" ht="47.25" x14ac:dyDescent="0.25">
      <c r="A89" s="2"/>
      <c r="B89" s="6" t="s">
        <v>177</v>
      </c>
      <c r="C89" s="3" t="s">
        <v>178</v>
      </c>
      <c r="D89" s="3">
        <f>'Deng data'!U8</f>
        <v>2005</v>
      </c>
      <c r="E89" s="357" t="s">
        <v>179</v>
      </c>
      <c r="F89" s="21" t="s">
        <v>51</v>
      </c>
      <c r="G89" s="3" t="s">
        <v>46</v>
      </c>
      <c r="H89" s="3" t="s">
        <v>47</v>
      </c>
      <c r="I89" s="3" t="s">
        <v>53</v>
      </c>
      <c r="J89" s="3" t="s">
        <v>74</v>
      </c>
      <c r="K89" s="3" t="s">
        <v>74</v>
      </c>
      <c r="L89" s="3" t="s">
        <v>103</v>
      </c>
      <c r="M89" s="3" t="s">
        <v>74</v>
      </c>
      <c r="N89" s="3" t="s">
        <v>53</v>
      </c>
      <c r="O89" s="3" t="s">
        <v>54</v>
      </c>
      <c r="P89" s="3" t="s">
        <v>55</v>
      </c>
      <c r="Q89" s="7" t="s">
        <v>56</v>
      </c>
      <c r="R89" s="3" t="s">
        <v>47</v>
      </c>
      <c r="S89" s="3" t="s">
        <v>53</v>
      </c>
      <c r="T89" s="3" t="s">
        <v>53</v>
      </c>
      <c r="U89" s="3" t="s">
        <v>47</v>
      </c>
      <c r="V89" s="4" t="s">
        <v>180</v>
      </c>
      <c r="W89" s="305">
        <f>'Deng data'!X8</f>
        <v>1.035266427805583</v>
      </c>
      <c r="X89" s="2"/>
      <c r="Y89" s="2"/>
      <c r="Z89" s="2"/>
      <c r="AA89" s="2"/>
      <c r="AB89" s="2"/>
      <c r="AC89" s="2"/>
      <c r="AD89" s="2"/>
      <c r="AE89" s="2"/>
      <c r="AF89" s="2"/>
      <c r="AG89" s="2"/>
    </row>
    <row r="90" spans="1:33" s="34" customFormat="1" ht="47.25" x14ac:dyDescent="0.25">
      <c r="A90" s="2"/>
      <c r="B90" s="6" t="s">
        <v>177</v>
      </c>
      <c r="C90" s="3" t="s">
        <v>178</v>
      </c>
      <c r="D90" s="3">
        <f>'Deng data'!U9</f>
        <v>2004</v>
      </c>
      <c r="E90" s="357" t="s">
        <v>181</v>
      </c>
      <c r="F90" s="21" t="s">
        <v>51</v>
      </c>
      <c r="G90" s="3" t="s">
        <v>46</v>
      </c>
      <c r="H90" s="3" t="s">
        <v>47</v>
      </c>
      <c r="I90" s="3" t="s">
        <v>53</v>
      </c>
      <c r="J90" s="3" t="s">
        <v>74</v>
      </c>
      <c r="K90" s="3" t="s">
        <v>74</v>
      </c>
      <c r="L90" s="3" t="s">
        <v>103</v>
      </c>
      <c r="M90" s="3" t="s">
        <v>74</v>
      </c>
      <c r="N90" s="3" t="s">
        <v>53</v>
      </c>
      <c r="O90" s="3" t="s">
        <v>54</v>
      </c>
      <c r="P90" s="3" t="s">
        <v>55</v>
      </c>
      <c r="Q90" s="7" t="s">
        <v>56</v>
      </c>
      <c r="R90" s="3" t="s">
        <v>47</v>
      </c>
      <c r="S90" s="3" t="s">
        <v>53</v>
      </c>
      <c r="T90" s="3" t="s">
        <v>53</v>
      </c>
      <c r="U90" s="3" t="s">
        <v>47</v>
      </c>
      <c r="V90" s="4" t="s">
        <v>182</v>
      </c>
      <c r="W90" s="305">
        <f>'Deng data'!X9</f>
        <v>1.0069029640300875</v>
      </c>
      <c r="X90" s="2"/>
      <c r="Y90" s="2"/>
      <c r="Z90" s="2"/>
      <c r="AA90" s="2"/>
      <c r="AB90" s="2"/>
      <c r="AC90" s="2"/>
      <c r="AD90" s="2"/>
      <c r="AE90" s="2"/>
      <c r="AF90" s="2"/>
      <c r="AG90" s="2"/>
    </row>
    <row r="91" spans="1:33" s="34" customFormat="1" ht="47.25" x14ac:dyDescent="0.25">
      <c r="A91" s="2"/>
      <c r="B91" s="6" t="s">
        <v>177</v>
      </c>
      <c r="C91" s="3" t="s">
        <v>178</v>
      </c>
      <c r="D91" s="3">
        <f>'Deng data'!U10</f>
        <v>2003</v>
      </c>
      <c r="E91" s="357" t="s">
        <v>183</v>
      </c>
      <c r="F91" s="21" t="s">
        <v>51</v>
      </c>
      <c r="G91" s="3" t="s">
        <v>46</v>
      </c>
      <c r="H91" s="3" t="s">
        <v>47</v>
      </c>
      <c r="I91" s="3" t="s">
        <v>53</v>
      </c>
      <c r="J91" s="3" t="s">
        <v>74</v>
      </c>
      <c r="K91" s="3" t="s">
        <v>74</v>
      </c>
      <c r="L91" s="3" t="s">
        <v>103</v>
      </c>
      <c r="M91" s="3" t="s">
        <v>74</v>
      </c>
      <c r="N91" s="3" t="s">
        <v>53</v>
      </c>
      <c r="O91" s="3" t="s">
        <v>54</v>
      </c>
      <c r="P91" s="3" t="s">
        <v>55</v>
      </c>
      <c r="Q91" s="7" t="s">
        <v>56</v>
      </c>
      <c r="R91" s="3" t="s">
        <v>47</v>
      </c>
      <c r="S91" s="3" t="s">
        <v>53</v>
      </c>
      <c r="T91" s="3" t="s">
        <v>53</v>
      </c>
      <c r="U91" s="3" t="s">
        <v>47</v>
      </c>
      <c r="V91" s="4" t="s">
        <v>184</v>
      </c>
      <c r="W91" s="305">
        <f>'Deng data'!X10</f>
        <v>1.2692650039534201</v>
      </c>
      <c r="X91" s="2"/>
      <c r="Y91" s="2"/>
      <c r="Z91" s="2"/>
      <c r="AA91" s="2"/>
      <c r="AB91" s="2"/>
      <c r="AC91" s="2"/>
      <c r="AD91" s="2"/>
      <c r="AE91" s="2"/>
      <c r="AF91" s="2"/>
      <c r="AG91" s="2"/>
    </row>
    <row r="92" spans="1:33" s="34" customFormat="1" ht="47.25" x14ac:dyDescent="0.25">
      <c r="A92" s="2"/>
      <c r="B92" s="6" t="s">
        <v>177</v>
      </c>
      <c r="C92" s="3" t="s">
        <v>178</v>
      </c>
      <c r="D92" s="3">
        <f>'Deng data'!U11</f>
        <v>2002</v>
      </c>
      <c r="E92" s="357" t="s">
        <v>185</v>
      </c>
      <c r="F92" s="21" t="s">
        <v>51</v>
      </c>
      <c r="G92" s="3" t="s">
        <v>46</v>
      </c>
      <c r="H92" s="3" t="s">
        <v>47</v>
      </c>
      <c r="I92" s="3" t="s">
        <v>53</v>
      </c>
      <c r="J92" s="3" t="s">
        <v>74</v>
      </c>
      <c r="K92" s="3" t="s">
        <v>74</v>
      </c>
      <c r="L92" s="3" t="s">
        <v>103</v>
      </c>
      <c r="M92" s="3" t="s">
        <v>74</v>
      </c>
      <c r="N92" s="3" t="s">
        <v>53</v>
      </c>
      <c r="O92" s="3" t="s">
        <v>54</v>
      </c>
      <c r="P92" s="3" t="s">
        <v>55</v>
      </c>
      <c r="Q92" s="7" t="s">
        <v>56</v>
      </c>
      <c r="R92" s="3" t="s">
        <v>47</v>
      </c>
      <c r="S92" s="3" t="s">
        <v>53</v>
      </c>
      <c r="T92" s="3" t="s">
        <v>53</v>
      </c>
      <c r="U92" s="3" t="s">
        <v>47</v>
      </c>
      <c r="V92" s="4" t="s">
        <v>186</v>
      </c>
      <c r="W92" s="305">
        <f>'Deng data'!X11</f>
        <v>1.2976284677289154</v>
      </c>
      <c r="X92" s="2"/>
      <c r="Y92" s="2"/>
      <c r="Z92" s="2"/>
      <c r="AA92" s="2"/>
      <c r="AB92" s="2"/>
      <c r="AC92" s="2"/>
      <c r="AD92" s="2"/>
      <c r="AE92" s="2"/>
      <c r="AF92" s="2"/>
      <c r="AG92" s="2"/>
    </row>
    <row r="93" spans="1:33" s="34" customFormat="1" ht="47.25" x14ac:dyDescent="0.25">
      <c r="A93" s="2"/>
      <c r="B93" s="6" t="s">
        <v>177</v>
      </c>
      <c r="C93" s="3" t="s">
        <v>178</v>
      </c>
      <c r="D93" s="3">
        <f>'Deng data'!U12</f>
        <v>2001</v>
      </c>
      <c r="E93" s="357" t="s">
        <v>187</v>
      </c>
      <c r="F93" s="21" t="s">
        <v>51</v>
      </c>
      <c r="G93" s="3" t="s">
        <v>46</v>
      </c>
      <c r="H93" s="3" t="s">
        <v>47</v>
      </c>
      <c r="I93" s="3" t="s">
        <v>53</v>
      </c>
      <c r="J93" s="3" t="s">
        <v>74</v>
      </c>
      <c r="K93" s="3" t="s">
        <v>74</v>
      </c>
      <c r="L93" s="3" t="s">
        <v>103</v>
      </c>
      <c r="M93" s="3" t="s">
        <v>74</v>
      </c>
      <c r="N93" s="3" t="s">
        <v>53</v>
      </c>
      <c r="O93" s="3" t="s">
        <v>54</v>
      </c>
      <c r="P93" s="3" t="s">
        <v>55</v>
      </c>
      <c r="Q93" s="7" t="s">
        <v>56</v>
      </c>
      <c r="R93" s="3" t="s">
        <v>47</v>
      </c>
      <c r="S93" s="3" t="s">
        <v>53</v>
      </c>
      <c r="T93" s="3" t="s">
        <v>53</v>
      </c>
      <c r="U93" s="3" t="s">
        <v>47</v>
      </c>
      <c r="V93" s="4" t="s">
        <v>188</v>
      </c>
      <c r="W93" s="305">
        <f>'Deng data'!X12</f>
        <v>1.2267198082901769</v>
      </c>
      <c r="X93" s="2"/>
      <c r="Y93" s="2"/>
      <c r="Z93" s="2"/>
      <c r="AA93" s="2"/>
      <c r="AB93" s="2"/>
      <c r="AC93" s="2"/>
      <c r="AD93" s="2"/>
      <c r="AE93" s="2"/>
      <c r="AF93" s="2"/>
      <c r="AG93" s="2"/>
    </row>
    <row r="94" spans="1:33" s="34" customFormat="1" ht="47.25" x14ac:dyDescent="0.25">
      <c r="A94" s="2"/>
      <c r="B94" s="6" t="s">
        <v>177</v>
      </c>
      <c r="C94" s="3" t="s">
        <v>178</v>
      </c>
      <c r="D94" s="3">
        <f>'Deng data'!U13</f>
        <v>2000</v>
      </c>
      <c r="E94" s="357" t="s">
        <v>189</v>
      </c>
      <c r="F94" s="21" t="s">
        <v>51</v>
      </c>
      <c r="G94" s="3" t="s">
        <v>46</v>
      </c>
      <c r="H94" s="3" t="s">
        <v>47</v>
      </c>
      <c r="I94" s="3" t="s">
        <v>53</v>
      </c>
      <c r="J94" s="3" t="s">
        <v>74</v>
      </c>
      <c r="K94" s="3" t="s">
        <v>74</v>
      </c>
      <c r="L94" s="3" t="s">
        <v>103</v>
      </c>
      <c r="M94" s="3" t="s">
        <v>74</v>
      </c>
      <c r="N94" s="3" t="s">
        <v>53</v>
      </c>
      <c r="O94" s="3" t="s">
        <v>54</v>
      </c>
      <c r="P94" s="3" t="s">
        <v>55</v>
      </c>
      <c r="Q94" s="7" t="s">
        <v>56</v>
      </c>
      <c r="R94" s="3" t="s">
        <v>47</v>
      </c>
      <c r="S94" s="3" t="s">
        <v>53</v>
      </c>
      <c r="T94" s="3" t="s">
        <v>53</v>
      </c>
      <c r="U94" s="3" t="s">
        <v>47</v>
      </c>
      <c r="V94" s="4" t="s">
        <v>190</v>
      </c>
      <c r="W94" s="305">
        <f>'Deng data'!X13</f>
        <v>0.87217651109648409</v>
      </c>
      <c r="X94" s="2"/>
      <c r="Y94" s="2"/>
      <c r="Z94" s="2"/>
      <c r="AA94" s="2"/>
      <c r="AB94" s="2"/>
      <c r="AC94" s="2"/>
      <c r="AD94" s="2"/>
      <c r="AE94" s="2"/>
      <c r="AF94" s="2"/>
      <c r="AG94" s="2"/>
    </row>
    <row r="95" spans="1:33" s="34" customFormat="1" ht="47.25" x14ac:dyDescent="0.25">
      <c r="A95" s="2"/>
      <c r="B95" s="6" t="s">
        <v>177</v>
      </c>
      <c r="C95" s="3" t="s">
        <v>178</v>
      </c>
      <c r="D95" s="3">
        <f>'Deng data'!U14</f>
        <v>1999</v>
      </c>
      <c r="E95" s="357" t="s">
        <v>191</v>
      </c>
      <c r="F95" s="21" t="s">
        <v>51</v>
      </c>
      <c r="G95" s="3" t="s">
        <v>46</v>
      </c>
      <c r="H95" s="3" t="s">
        <v>47</v>
      </c>
      <c r="I95" s="3" t="s">
        <v>53</v>
      </c>
      <c r="J95" s="3" t="s">
        <v>74</v>
      </c>
      <c r="K95" s="3" t="s">
        <v>74</v>
      </c>
      <c r="L95" s="3" t="s">
        <v>103</v>
      </c>
      <c r="M95" s="3" t="s">
        <v>74</v>
      </c>
      <c r="N95" s="3" t="s">
        <v>53</v>
      </c>
      <c r="O95" s="3" t="s">
        <v>54</v>
      </c>
      <c r="P95" s="3" t="s">
        <v>55</v>
      </c>
      <c r="Q95" s="7" t="s">
        <v>56</v>
      </c>
      <c r="R95" s="3" t="s">
        <v>47</v>
      </c>
      <c r="S95" s="3" t="s">
        <v>53</v>
      </c>
      <c r="T95" s="3" t="s">
        <v>53</v>
      </c>
      <c r="U95" s="3" t="s">
        <v>47</v>
      </c>
      <c r="V95" s="4" t="s">
        <v>192</v>
      </c>
      <c r="W95" s="305">
        <f>'Deng data'!X14</f>
        <v>1.028175561861709</v>
      </c>
      <c r="X95" s="2"/>
      <c r="Y95" s="2"/>
      <c r="Z95" s="2"/>
      <c r="AA95" s="2"/>
      <c r="AB95" s="2"/>
      <c r="AC95" s="2"/>
      <c r="AD95" s="2"/>
      <c r="AE95" s="2"/>
      <c r="AF95" s="2"/>
      <c r="AG95" s="2"/>
    </row>
    <row r="96" spans="1:33" s="34" customFormat="1" ht="47.25" x14ac:dyDescent="0.25">
      <c r="A96" s="2"/>
      <c r="B96" s="6" t="s">
        <v>177</v>
      </c>
      <c r="C96" s="3" t="s">
        <v>178</v>
      </c>
      <c r="D96" s="3">
        <f>'Deng data'!U15</f>
        <v>1998</v>
      </c>
      <c r="E96" s="357" t="s">
        <v>193</v>
      </c>
      <c r="F96" s="21" t="s">
        <v>51</v>
      </c>
      <c r="G96" s="3" t="s">
        <v>46</v>
      </c>
      <c r="H96" s="3" t="s">
        <v>47</v>
      </c>
      <c r="I96" s="3" t="s">
        <v>53</v>
      </c>
      <c r="J96" s="3" t="s">
        <v>74</v>
      </c>
      <c r="K96" s="3" t="s">
        <v>74</v>
      </c>
      <c r="L96" s="3" t="s">
        <v>103</v>
      </c>
      <c r="M96" s="3" t="s">
        <v>74</v>
      </c>
      <c r="N96" s="3" t="s">
        <v>53</v>
      </c>
      <c r="O96" s="3" t="s">
        <v>54</v>
      </c>
      <c r="P96" s="3" t="s">
        <v>55</v>
      </c>
      <c r="Q96" s="7" t="s">
        <v>56</v>
      </c>
      <c r="R96" s="3" t="s">
        <v>47</v>
      </c>
      <c r="S96" s="3" t="s">
        <v>53</v>
      </c>
      <c r="T96" s="3" t="s">
        <v>53</v>
      </c>
      <c r="U96" s="3" t="s">
        <v>47</v>
      </c>
      <c r="V96" s="4" t="s">
        <v>194</v>
      </c>
      <c r="W96" s="305">
        <f>'Deng data'!X15</f>
        <v>1.2054472104585554</v>
      </c>
      <c r="X96" s="2"/>
      <c r="Y96" s="2"/>
      <c r="Z96" s="2"/>
      <c r="AA96" s="2"/>
      <c r="AB96" s="2"/>
      <c r="AC96" s="2"/>
      <c r="AD96" s="2"/>
      <c r="AE96" s="2"/>
      <c r="AF96" s="2"/>
      <c r="AG96" s="2"/>
    </row>
    <row r="97" spans="1:33" s="34" customFormat="1" ht="47.25" x14ac:dyDescent="0.25">
      <c r="A97" s="2"/>
      <c r="B97" s="6" t="s">
        <v>177</v>
      </c>
      <c r="C97" s="3" t="s">
        <v>178</v>
      </c>
      <c r="D97" s="3">
        <f>'Deng data'!U16</f>
        <v>1997</v>
      </c>
      <c r="E97" s="357" t="s">
        <v>195</v>
      </c>
      <c r="F97" s="21" t="s">
        <v>51</v>
      </c>
      <c r="G97" s="3" t="s">
        <v>46</v>
      </c>
      <c r="H97" s="3" t="s">
        <v>47</v>
      </c>
      <c r="I97" s="3" t="s">
        <v>53</v>
      </c>
      <c r="J97" s="3" t="s">
        <v>74</v>
      </c>
      <c r="K97" s="3" t="s">
        <v>74</v>
      </c>
      <c r="L97" s="3" t="s">
        <v>103</v>
      </c>
      <c r="M97" s="3" t="s">
        <v>74</v>
      </c>
      <c r="N97" s="3" t="s">
        <v>53</v>
      </c>
      <c r="O97" s="3" t="s">
        <v>54</v>
      </c>
      <c r="P97" s="3" t="s">
        <v>55</v>
      </c>
      <c r="Q97" s="7" t="s">
        <v>56</v>
      </c>
      <c r="R97" s="3" t="s">
        <v>47</v>
      </c>
      <c r="S97" s="3" t="s">
        <v>53</v>
      </c>
      <c r="T97" s="3" t="s">
        <v>53</v>
      </c>
      <c r="U97" s="3" t="s">
        <v>47</v>
      </c>
      <c r="V97" s="4" t="s">
        <v>196</v>
      </c>
      <c r="W97" s="305">
        <f>'Deng data'!X16</f>
        <v>1.1841746126269337</v>
      </c>
      <c r="X97" s="2"/>
      <c r="Y97" s="2"/>
      <c r="Z97" s="2"/>
      <c r="AA97" s="2"/>
      <c r="AB97" s="2"/>
      <c r="AC97" s="2"/>
      <c r="AD97" s="2"/>
      <c r="AE97" s="2"/>
      <c r="AF97" s="2"/>
      <c r="AG97" s="2"/>
    </row>
    <row r="98" spans="1:33" s="34" customFormat="1" ht="47.25" x14ac:dyDescent="0.25">
      <c r="A98" s="2"/>
      <c r="B98" s="6" t="s">
        <v>177</v>
      </c>
      <c r="C98" s="3" t="s">
        <v>178</v>
      </c>
      <c r="D98" s="3">
        <f>'Deng data'!U17</f>
        <v>1996</v>
      </c>
      <c r="E98" s="357" t="s">
        <v>197</v>
      </c>
      <c r="F98" s="21" t="s">
        <v>51</v>
      </c>
      <c r="G98" s="3" t="s">
        <v>46</v>
      </c>
      <c r="H98" s="3" t="s">
        <v>47</v>
      </c>
      <c r="I98" s="3" t="s">
        <v>53</v>
      </c>
      <c r="J98" s="3" t="s">
        <v>74</v>
      </c>
      <c r="K98" s="3" t="s">
        <v>74</v>
      </c>
      <c r="L98" s="3" t="s">
        <v>103</v>
      </c>
      <c r="M98" s="3" t="s">
        <v>74</v>
      </c>
      <c r="N98" s="3" t="s">
        <v>53</v>
      </c>
      <c r="O98" s="3" t="s">
        <v>54</v>
      </c>
      <c r="P98" s="3" t="s">
        <v>55</v>
      </c>
      <c r="Q98" s="7" t="s">
        <v>56</v>
      </c>
      <c r="R98" s="3" t="s">
        <v>47</v>
      </c>
      <c r="S98" s="3" t="s">
        <v>53</v>
      </c>
      <c r="T98" s="3" t="s">
        <v>53</v>
      </c>
      <c r="U98" s="3" t="s">
        <v>47</v>
      </c>
      <c r="V98" s="4" t="s">
        <v>198</v>
      </c>
      <c r="W98" s="305">
        <f>'Deng data'!X17</f>
        <v>1.035266427805583</v>
      </c>
      <c r="X98" s="2"/>
      <c r="Y98" s="2"/>
      <c r="Z98" s="2"/>
      <c r="AA98" s="2"/>
      <c r="AB98" s="2"/>
      <c r="AC98" s="2"/>
      <c r="AD98" s="2"/>
      <c r="AE98" s="2"/>
      <c r="AF98" s="2"/>
      <c r="AG98" s="2"/>
    </row>
    <row r="99" spans="1:33" s="34" customFormat="1" ht="47.25" x14ac:dyDescent="0.25">
      <c r="A99" s="2"/>
      <c r="B99" s="6" t="s">
        <v>177</v>
      </c>
      <c r="C99" s="3" t="s">
        <v>178</v>
      </c>
      <c r="D99" s="3">
        <f>'Deng data'!U18</f>
        <v>1995</v>
      </c>
      <c r="E99" s="357" t="s">
        <v>199</v>
      </c>
      <c r="F99" s="21" t="s">
        <v>51</v>
      </c>
      <c r="G99" s="3" t="s">
        <v>46</v>
      </c>
      <c r="H99" s="3" t="s">
        <v>47</v>
      </c>
      <c r="I99" s="3" t="s">
        <v>53</v>
      </c>
      <c r="J99" s="3" t="s">
        <v>74</v>
      </c>
      <c r="K99" s="3" t="s">
        <v>74</v>
      </c>
      <c r="L99" s="3" t="s">
        <v>103</v>
      </c>
      <c r="M99" s="3" t="s">
        <v>74</v>
      </c>
      <c r="N99" s="3" t="s">
        <v>53</v>
      </c>
      <c r="O99" s="3" t="s">
        <v>54</v>
      </c>
      <c r="P99" s="3" t="s">
        <v>55</v>
      </c>
      <c r="Q99" s="7" t="s">
        <v>56</v>
      </c>
      <c r="R99" s="3" t="s">
        <v>47</v>
      </c>
      <c r="S99" s="3" t="s">
        <v>53</v>
      </c>
      <c r="T99" s="3" t="s">
        <v>53</v>
      </c>
      <c r="U99" s="3" t="s">
        <v>47</v>
      </c>
      <c r="V99" s="4" t="s">
        <v>200</v>
      </c>
      <c r="W99" s="305">
        <f>'Deng data'!X18</f>
        <v>1.028175561861709</v>
      </c>
      <c r="X99" s="2"/>
      <c r="Y99" s="2"/>
      <c r="Z99" s="2"/>
      <c r="AA99" s="2"/>
      <c r="AB99" s="2"/>
      <c r="AC99" s="2"/>
      <c r="AD99" s="2"/>
      <c r="AE99" s="2"/>
      <c r="AF99" s="2"/>
      <c r="AG99" s="2"/>
    </row>
    <row r="100" spans="1:33" s="34" customFormat="1" ht="47.25" x14ac:dyDescent="0.25">
      <c r="A100" s="2"/>
      <c r="B100" s="6" t="s">
        <v>177</v>
      </c>
      <c r="C100" s="3" t="s">
        <v>178</v>
      </c>
      <c r="D100" s="3">
        <f>'Deng data'!U9</f>
        <v>2004</v>
      </c>
      <c r="E100" s="357" t="s">
        <v>199</v>
      </c>
      <c r="F100" s="21" t="s">
        <v>51</v>
      </c>
      <c r="G100" s="3" t="s">
        <v>46</v>
      </c>
      <c r="H100" s="3" t="s">
        <v>47</v>
      </c>
      <c r="I100" s="3" t="s">
        <v>53</v>
      </c>
      <c r="J100" s="3" t="s">
        <v>74</v>
      </c>
      <c r="K100" s="3" t="s">
        <v>74</v>
      </c>
      <c r="L100" s="3" t="s">
        <v>103</v>
      </c>
      <c r="M100" s="3" t="s">
        <v>74</v>
      </c>
      <c r="N100" s="3" t="s">
        <v>53</v>
      </c>
      <c r="O100" s="3" t="s">
        <v>201</v>
      </c>
      <c r="P100" s="3" t="s">
        <v>55</v>
      </c>
      <c r="Q100" s="7" t="s">
        <v>56</v>
      </c>
      <c r="R100" s="3" t="s">
        <v>47</v>
      </c>
      <c r="S100" s="3" t="s">
        <v>53</v>
      </c>
      <c r="T100" s="3" t="s">
        <v>53</v>
      </c>
      <c r="U100" s="3" t="s">
        <v>47</v>
      </c>
      <c r="V100" s="4" t="s">
        <v>202</v>
      </c>
      <c r="W100" s="305">
        <f>'Deng data'!Y9</f>
        <v>1.1416294169636907</v>
      </c>
      <c r="X100" s="2"/>
      <c r="Y100" s="2"/>
      <c r="Z100" s="2"/>
      <c r="AA100" s="2"/>
      <c r="AB100" s="2"/>
      <c r="AC100" s="2"/>
      <c r="AD100" s="2"/>
      <c r="AE100" s="2"/>
      <c r="AF100" s="2"/>
      <c r="AG100" s="2"/>
    </row>
    <row r="101" spans="1:33" s="34" customFormat="1" ht="47.25" x14ac:dyDescent="0.25">
      <c r="A101" s="2"/>
      <c r="B101" s="6" t="s">
        <v>177</v>
      </c>
      <c r="C101" s="3" t="s">
        <v>178</v>
      </c>
      <c r="D101" s="3">
        <f>'Deng data'!U10</f>
        <v>2003</v>
      </c>
      <c r="E101" s="357" t="s">
        <v>203</v>
      </c>
      <c r="F101" s="21" t="s">
        <v>51</v>
      </c>
      <c r="G101" s="3" t="s">
        <v>46</v>
      </c>
      <c r="H101" s="3" t="s">
        <v>47</v>
      </c>
      <c r="I101" s="3" t="s">
        <v>53</v>
      </c>
      <c r="J101" s="3" t="s">
        <v>74</v>
      </c>
      <c r="K101" s="3" t="s">
        <v>74</v>
      </c>
      <c r="L101" s="3" t="s">
        <v>103</v>
      </c>
      <c r="M101" s="3" t="s">
        <v>74</v>
      </c>
      <c r="N101" s="3" t="s">
        <v>53</v>
      </c>
      <c r="O101" s="3" t="s">
        <v>201</v>
      </c>
      <c r="P101" s="3" t="s">
        <v>55</v>
      </c>
      <c r="Q101" s="7" t="s">
        <v>56</v>
      </c>
      <c r="R101" s="3" t="s">
        <v>47</v>
      </c>
      <c r="S101" s="3" t="s">
        <v>53</v>
      </c>
      <c r="T101" s="3" t="s">
        <v>53</v>
      </c>
      <c r="U101" s="3" t="s">
        <v>47</v>
      </c>
      <c r="V101" s="4" t="s">
        <v>204</v>
      </c>
      <c r="W101" s="305">
        <f>'Deng data'!Y10</f>
        <v>0.98563036619846567</v>
      </c>
      <c r="X101" s="2"/>
      <c r="Y101" s="2"/>
      <c r="Z101" s="2"/>
      <c r="AA101" s="2"/>
      <c r="AB101" s="2"/>
      <c r="AC101" s="2"/>
      <c r="AD101" s="2"/>
      <c r="AE101" s="2"/>
      <c r="AF101" s="2"/>
      <c r="AG101" s="2"/>
    </row>
    <row r="102" spans="1:33" s="34" customFormat="1" ht="47.25" x14ac:dyDescent="0.25">
      <c r="A102" s="2"/>
      <c r="B102" s="6" t="s">
        <v>177</v>
      </c>
      <c r="C102" s="3" t="s">
        <v>178</v>
      </c>
      <c r="D102" s="3">
        <f>'Deng data'!U11</f>
        <v>2002</v>
      </c>
      <c r="E102" s="357" t="s">
        <v>205</v>
      </c>
      <c r="F102" s="21" t="s">
        <v>51</v>
      </c>
      <c r="G102" s="3" t="s">
        <v>46</v>
      </c>
      <c r="H102" s="3" t="s">
        <v>47</v>
      </c>
      <c r="I102" s="3" t="s">
        <v>53</v>
      </c>
      <c r="J102" s="3" t="s">
        <v>74</v>
      </c>
      <c r="K102" s="3" t="s">
        <v>74</v>
      </c>
      <c r="L102" s="3" t="s">
        <v>103</v>
      </c>
      <c r="M102" s="3" t="s">
        <v>74</v>
      </c>
      <c r="N102" s="3" t="s">
        <v>53</v>
      </c>
      <c r="O102" s="3" t="s">
        <v>201</v>
      </c>
      <c r="P102" s="3" t="s">
        <v>55</v>
      </c>
      <c r="Q102" s="7" t="s">
        <v>56</v>
      </c>
      <c r="R102" s="3" t="s">
        <v>47</v>
      </c>
      <c r="S102" s="3" t="s">
        <v>53</v>
      </c>
      <c r="T102" s="3" t="s">
        <v>53</v>
      </c>
      <c r="U102" s="3" t="s">
        <v>47</v>
      </c>
      <c r="V102" s="4" t="s">
        <v>206</v>
      </c>
      <c r="W102" s="305">
        <f>'Deng data'!Y11</f>
        <v>1.077811623468826</v>
      </c>
      <c r="X102" s="2"/>
      <c r="Y102" s="2"/>
      <c r="Z102" s="2"/>
      <c r="AA102" s="2"/>
      <c r="AB102" s="2"/>
      <c r="AC102" s="2"/>
      <c r="AD102" s="2"/>
      <c r="AE102" s="2"/>
      <c r="AF102" s="2"/>
      <c r="AG102" s="2"/>
    </row>
    <row r="103" spans="1:33" s="34" customFormat="1" ht="47.25" x14ac:dyDescent="0.25">
      <c r="A103" s="2"/>
      <c r="B103" s="6" t="s">
        <v>177</v>
      </c>
      <c r="C103" s="3" t="s">
        <v>178</v>
      </c>
      <c r="D103" s="3">
        <f>'Deng data'!U12</f>
        <v>2001</v>
      </c>
      <c r="E103" s="357" t="s">
        <v>207</v>
      </c>
      <c r="F103" s="21" t="s">
        <v>51</v>
      </c>
      <c r="G103" s="3" t="s">
        <v>46</v>
      </c>
      <c r="H103" s="3" t="s">
        <v>47</v>
      </c>
      <c r="I103" s="3" t="s">
        <v>53</v>
      </c>
      <c r="J103" s="3" t="s">
        <v>74</v>
      </c>
      <c r="K103" s="3" t="s">
        <v>74</v>
      </c>
      <c r="L103" s="3" t="s">
        <v>103</v>
      </c>
      <c r="M103" s="3" t="s">
        <v>74</v>
      </c>
      <c r="N103" s="3" t="s">
        <v>53</v>
      </c>
      <c r="O103" s="3" t="s">
        <v>201</v>
      </c>
      <c r="P103" s="3" t="s">
        <v>55</v>
      </c>
      <c r="Q103" s="7" t="s">
        <v>56</v>
      </c>
      <c r="R103" s="3" t="s">
        <v>47</v>
      </c>
      <c r="S103" s="3" t="s">
        <v>53</v>
      </c>
      <c r="T103" s="3" t="s">
        <v>53</v>
      </c>
      <c r="U103" s="3" t="s">
        <v>47</v>
      </c>
      <c r="V103" s="4" t="s">
        <v>208</v>
      </c>
      <c r="W103" s="305">
        <f>'Deng data'!Y12</f>
        <v>1.3118101996166633</v>
      </c>
      <c r="X103" s="2"/>
      <c r="Y103" s="2"/>
      <c r="Z103" s="2"/>
      <c r="AA103" s="2"/>
      <c r="AB103" s="2"/>
      <c r="AC103" s="2"/>
      <c r="AD103" s="2"/>
      <c r="AE103" s="2"/>
      <c r="AF103" s="2"/>
      <c r="AG103" s="2"/>
    </row>
    <row r="104" spans="1:33" s="34" customFormat="1" ht="47.25" x14ac:dyDescent="0.25">
      <c r="A104" s="2"/>
      <c r="B104" s="6" t="s">
        <v>177</v>
      </c>
      <c r="C104" s="3" t="s">
        <v>178</v>
      </c>
      <c r="D104" s="3">
        <f>'Deng data'!U13</f>
        <v>2000</v>
      </c>
      <c r="E104" s="357" t="s">
        <v>209</v>
      </c>
      <c r="F104" s="21" t="s">
        <v>51</v>
      </c>
      <c r="G104" s="3" t="s">
        <v>46</v>
      </c>
      <c r="H104" s="3" t="s">
        <v>47</v>
      </c>
      <c r="I104" s="3" t="s">
        <v>53</v>
      </c>
      <c r="J104" s="3" t="s">
        <v>74</v>
      </c>
      <c r="K104" s="3" t="s">
        <v>74</v>
      </c>
      <c r="L104" s="3" t="s">
        <v>103</v>
      </c>
      <c r="M104" s="3" t="s">
        <v>74</v>
      </c>
      <c r="N104" s="3" t="s">
        <v>53</v>
      </c>
      <c r="O104" s="3" t="s">
        <v>201</v>
      </c>
      <c r="P104" s="3" t="s">
        <v>55</v>
      </c>
      <c r="Q104" s="7" t="s">
        <v>56</v>
      </c>
      <c r="R104" s="3" t="s">
        <v>47</v>
      </c>
      <c r="S104" s="3" t="s">
        <v>53</v>
      </c>
      <c r="T104" s="3" t="s">
        <v>53</v>
      </c>
      <c r="U104" s="3" t="s">
        <v>47</v>
      </c>
      <c r="V104" s="4" t="s">
        <v>210</v>
      </c>
      <c r="W104" s="305">
        <f>'Deng data'!Y13</f>
        <v>1.3472645293360324</v>
      </c>
      <c r="X104" s="2"/>
      <c r="Y104" s="2"/>
      <c r="Z104" s="2"/>
      <c r="AA104" s="2"/>
      <c r="AB104" s="2"/>
      <c r="AC104" s="2"/>
      <c r="AD104" s="2"/>
      <c r="AE104" s="2"/>
      <c r="AF104" s="2"/>
      <c r="AG104" s="2"/>
    </row>
    <row r="105" spans="1:33" s="34" customFormat="1" ht="47.25" x14ac:dyDescent="0.25">
      <c r="A105" s="2"/>
      <c r="B105" s="6" t="s">
        <v>177</v>
      </c>
      <c r="C105" s="3" t="s">
        <v>178</v>
      </c>
      <c r="D105" s="3">
        <f>'Deng data'!U14</f>
        <v>1999</v>
      </c>
      <c r="E105" s="357" t="s">
        <v>211</v>
      </c>
      <c r="F105" s="21" t="s">
        <v>51</v>
      </c>
      <c r="G105" s="3" t="s">
        <v>46</v>
      </c>
      <c r="H105" s="3" t="s">
        <v>47</v>
      </c>
      <c r="I105" s="3" t="s">
        <v>53</v>
      </c>
      <c r="J105" s="3" t="s">
        <v>74</v>
      </c>
      <c r="K105" s="3" t="s">
        <v>74</v>
      </c>
      <c r="L105" s="3" t="s">
        <v>103</v>
      </c>
      <c r="M105" s="3" t="s">
        <v>74</v>
      </c>
      <c r="N105" s="3" t="s">
        <v>53</v>
      </c>
      <c r="O105" s="3" t="s">
        <v>201</v>
      </c>
      <c r="P105" s="3" t="s">
        <v>55</v>
      </c>
      <c r="Q105" s="7" t="s">
        <v>56</v>
      </c>
      <c r="R105" s="3" t="s">
        <v>47</v>
      </c>
      <c r="S105" s="3" t="s">
        <v>53</v>
      </c>
      <c r="T105" s="3" t="s">
        <v>53</v>
      </c>
      <c r="U105" s="3" t="s">
        <v>47</v>
      </c>
      <c r="V105" s="4" t="s">
        <v>212</v>
      </c>
      <c r="W105" s="305">
        <f>'Deng data'!Y14</f>
        <v>0.85090391326486259</v>
      </c>
      <c r="X105" s="2"/>
      <c r="Y105" s="2"/>
      <c r="Z105" s="2"/>
      <c r="AA105" s="2"/>
      <c r="AB105" s="2"/>
      <c r="AC105" s="2"/>
      <c r="AD105" s="2"/>
      <c r="AE105" s="2"/>
      <c r="AF105" s="2"/>
      <c r="AG105" s="2"/>
    </row>
    <row r="106" spans="1:33" s="34" customFormat="1" ht="47.25" x14ac:dyDescent="0.25">
      <c r="A106" s="2"/>
      <c r="B106" s="6" t="s">
        <v>177</v>
      </c>
      <c r="C106" s="3" t="s">
        <v>178</v>
      </c>
      <c r="D106" s="3">
        <f>'Deng data'!U15</f>
        <v>1998</v>
      </c>
      <c r="E106" s="357" t="s">
        <v>213</v>
      </c>
      <c r="F106" s="21" t="s">
        <v>51</v>
      </c>
      <c r="G106" s="3" t="s">
        <v>46</v>
      </c>
      <c r="H106" s="3" t="s">
        <v>47</v>
      </c>
      <c r="I106" s="3" t="s">
        <v>53</v>
      </c>
      <c r="J106" s="3" t="s">
        <v>74</v>
      </c>
      <c r="K106" s="3" t="s">
        <v>74</v>
      </c>
      <c r="L106" s="3" t="s">
        <v>103</v>
      </c>
      <c r="M106" s="3" t="s">
        <v>74</v>
      </c>
      <c r="N106" s="3" t="s">
        <v>53</v>
      </c>
      <c r="O106" s="3" t="s">
        <v>201</v>
      </c>
      <c r="P106" s="3" t="s">
        <v>55</v>
      </c>
      <c r="Q106" s="7" t="s">
        <v>56</v>
      </c>
      <c r="R106" s="3" t="s">
        <v>47</v>
      </c>
      <c r="S106" s="3" t="s">
        <v>53</v>
      </c>
      <c r="T106" s="3" t="s">
        <v>53</v>
      </c>
      <c r="U106" s="3" t="s">
        <v>47</v>
      </c>
      <c r="V106" s="4" t="s">
        <v>214</v>
      </c>
      <c r="W106" s="305">
        <f>'Deng data'!Y15</f>
        <v>0.8934491089281057</v>
      </c>
      <c r="X106" s="2"/>
      <c r="Y106" s="2"/>
      <c r="Z106" s="2"/>
      <c r="AA106" s="2"/>
      <c r="AB106" s="2"/>
      <c r="AC106" s="2"/>
      <c r="AD106" s="2"/>
      <c r="AE106" s="2"/>
      <c r="AF106" s="2"/>
      <c r="AG106" s="2"/>
    </row>
    <row r="107" spans="1:33" s="34" customFormat="1" ht="47.25" x14ac:dyDescent="0.25">
      <c r="A107" s="2"/>
      <c r="B107" s="6" t="s">
        <v>177</v>
      </c>
      <c r="C107" s="3" t="s">
        <v>178</v>
      </c>
      <c r="D107" s="3">
        <f>'Deng data'!U16</f>
        <v>1997</v>
      </c>
      <c r="E107" s="357" t="s">
        <v>215</v>
      </c>
      <c r="F107" s="21" t="s">
        <v>51</v>
      </c>
      <c r="G107" s="3" t="s">
        <v>46</v>
      </c>
      <c r="H107" s="3" t="s">
        <v>47</v>
      </c>
      <c r="I107" s="3" t="s">
        <v>53</v>
      </c>
      <c r="J107" s="3" t="s">
        <v>74</v>
      </c>
      <c r="K107" s="3" t="s">
        <v>74</v>
      </c>
      <c r="L107" s="3" t="s">
        <v>103</v>
      </c>
      <c r="M107" s="3" t="s">
        <v>74</v>
      </c>
      <c r="N107" s="3" t="s">
        <v>53</v>
      </c>
      <c r="O107" s="3" t="s">
        <v>201</v>
      </c>
      <c r="P107" s="3" t="s">
        <v>55</v>
      </c>
      <c r="Q107" s="7" t="s">
        <v>56</v>
      </c>
      <c r="R107" s="3" t="s">
        <v>47</v>
      </c>
      <c r="S107" s="3" t="s">
        <v>53</v>
      </c>
      <c r="T107" s="3" t="s">
        <v>53</v>
      </c>
      <c r="U107" s="3" t="s">
        <v>47</v>
      </c>
      <c r="V107" s="4" t="s">
        <v>216</v>
      </c>
      <c r="W107" s="305">
        <f>'Deng data'!Y16</f>
        <v>0.99272123214233965</v>
      </c>
      <c r="X107" s="2"/>
      <c r="Y107" s="2"/>
      <c r="Z107" s="2"/>
      <c r="AA107" s="2"/>
      <c r="AB107" s="2"/>
      <c r="AC107" s="2"/>
      <c r="AD107" s="2"/>
      <c r="AE107" s="2"/>
      <c r="AF107" s="2"/>
      <c r="AG107" s="2"/>
    </row>
    <row r="108" spans="1:33" s="34" customFormat="1" ht="47.25" x14ac:dyDescent="0.25">
      <c r="A108" s="2"/>
      <c r="B108" s="6" t="s">
        <v>177</v>
      </c>
      <c r="C108" s="3" t="s">
        <v>178</v>
      </c>
      <c r="D108" s="3">
        <f>'Deng data'!U30</f>
        <v>2008</v>
      </c>
      <c r="E108" s="357" t="s">
        <v>179</v>
      </c>
      <c r="F108" s="21" t="s">
        <v>51</v>
      </c>
      <c r="G108" s="3" t="s">
        <v>46</v>
      </c>
      <c r="H108" s="3" t="s">
        <v>47</v>
      </c>
      <c r="I108" s="3" t="s">
        <v>53</v>
      </c>
      <c r="J108" s="3" t="s">
        <v>74</v>
      </c>
      <c r="K108" s="3" t="s">
        <v>74</v>
      </c>
      <c r="L108" s="3" t="s">
        <v>103</v>
      </c>
      <c r="M108" s="3" t="s">
        <v>74</v>
      </c>
      <c r="N108" s="3" t="s">
        <v>53</v>
      </c>
      <c r="O108" s="3" t="s">
        <v>54</v>
      </c>
      <c r="P108" s="3" t="s">
        <v>55</v>
      </c>
      <c r="Q108" s="7" t="s">
        <v>56</v>
      </c>
      <c r="R108" s="3" t="s">
        <v>47</v>
      </c>
      <c r="S108" s="3" t="s">
        <v>53</v>
      </c>
      <c r="T108" s="3" t="s">
        <v>53</v>
      </c>
      <c r="U108" s="3" t="s">
        <v>47</v>
      </c>
      <c r="V108" s="4" t="s">
        <v>217</v>
      </c>
      <c r="W108" s="305">
        <f>'Deng data'!Y30</f>
        <v>0.87217651109648409</v>
      </c>
      <c r="X108" s="2"/>
      <c r="Y108" s="2"/>
      <c r="Z108" s="2"/>
      <c r="AA108" s="2"/>
      <c r="AB108" s="2"/>
      <c r="AC108" s="2"/>
      <c r="AD108" s="2"/>
      <c r="AE108" s="2"/>
      <c r="AF108" s="2"/>
      <c r="AG108" s="2"/>
    </row>
    <row r="109" spans="1:33" s="34" customFormat="1" ht="47.25" x14ac:dyDescent="0.25">
      <c r="A109" s="2"/>
      <c r="B109" s="6" t="s">
        <v>218</v>
      </c>
      <c r="C109" s="91" t="s">
        <v>219</v>
      </c>
      <c r="D109" s="3">
        <v>1999</v>
      </c>
      <c r="E109" s="81" t="s">
        <v>220</v>
      </c>
      <c r="F109" s="7" t="s">
        <v>51</v>
      </c>
      <c r="G109" s="7" t="s">
        <v>58</v>
      </c>
      <c r="H109" s="7" t="s">
        <v>47</v>
      </c>
      <c r="I109" s="7" t="s">
        <v>74</v>
      </c>
      <c r="J109" s="7" t="s">
        <v>74</v>
      </c>
      <c r="K109" s="7" t="s">
        <v>74</v>
      </c>
      <c r="L109" s="7" t="s">
        <v>74</v>
      </c>
      <c r="M109" s="7" t="s">
        <v>74</v>
      </c>
      <c r="N109" s="7" t="s">
        <v>53</v>
      </c>
      <c r="O109" s="7" t="s">
        <v>48</v>
      </c>
      <c r="P109" s="7" t="s">
        <v>55</v>
      </c>
      <c r="Q109" s="7" t="s">
        <v>56</v>
      </c>
      <c r="R109" s="7" t="s">
        <v>47</v>
      </c>
      <c r="S109" s="7" t="s">
        <v>53</v>
      </c>
      <c r="T109" s="7" t="s">
        <v>53</v>
      </c>
      <c r="U109" s="7" t="s">
        <v>47</v>
      </c>
      <c r="V109" s="5" t="s">
        <v>221</v>
      </c>
      <c r="W109" s="302">
        <f>'Williams data'!H7</f>
        <v>1.077811623468826</v>
      </c>
      <c r="X109" s="2"/>
      <c r="Y109" s="2"/>
      <c r="Z109" s="2"/>
      <c r="AA109" s="2"/>
      <c r="AB109" s="2"/>
      <c r="AC109" s="2"/>
      <c r="AD109" s="2"/>
      <c r="AE109" s="2"/>
      <c r="AF109" s="2"/>
      <c r="AG109" s="2"/>
    </row>
    <row r="110" spans="1:33" s="34" customFormat="1" ht="47.25" x14ac:dyDescent="0.25">
      <c r="A110" s="2"/>
      <c r="B110" s="6" t="s">
        <v>218</v>
      </c>
      <c r="C110" s="91" t="s">
        <v>219</v>
      </c>
      <c r="D110" s="3">
        <f>'Williams data'!B8</f>
        <v>1997</v>
      </c>
      <c r="E110" s="81" t="s">
        <v>220</v>
      </c>
      <c r="F110" s="7" t="s">
        <v>51</v>
      </c>
      <c r="G110" s="7" t="s">
        <v>58</v>
      </c>
      <c r="H110" s="7" t="s">
        <v>47</v>
      </c>
      <c r="I110" s="7" t="s">
        <v>74</v>
      </c>
      <c r="J110" s="7" t="s">
        <v>74</v>
      </c>
      <c r="K110" s="7" t="s">
        <v>74</v>
      </c>
      <c r="L110" s="7" t="s">
        <v>74</v>
      </c>
      <c r="M110" s="7" t="s">
        <v>74</v>
      </c>
      <c r="N110" s="7" t="s">
        <v>53</v>
      </c>
      <c r="O110" s="7" t="s">
        <v>48</v>
      </c>
      <c r="P110" s="7" t="s">
        <v>55</v>
      </c>
      <c r="Q110" s="7" t="s">
        <v>56</v>
      </c>
      <c r="R110" s="7" t="s">
        <v>47</v>
      </c>
      <c r="S110" s="7" t="s">
        <v>53</v>
      </c>
      <c r="T110" s="7" t="s">
        <v>53</v>
      </c>
      <c r="U110" s="7" t="s">
        <v>47</v>
      </c>
      <c r="V110" s="5" t="s">
        <v>221</v>
      </c>
      <c r="W110" s="302">
        <f>'Williams data'!H8</f>
        <v>1.021084695917835</v>
      </c>
      <c r="X110" s="2"/>
      <c r="Y110" s="2"/>
      <c r="Z110" s="2"/>
      <c r="AA110" s="2"/>
      <c r="AB110" s="2"/>
      <c r="AC110" s="2"/>
      <c r="AD110" s="2"/>
      <c r="AE110" s="2"/>
      <c r="AF110" s="2"/>
      <c r="AG110" s="2"/>
    </row>
    <row r="111" spans="1:33" s="34" customFormat="1" ht="47.25" x14ac:dyDescent="0.25">
      <c r="A111" s="2"/>
      <c r="B111" s="6" t="s">
        <v>218</v>
      </c>
      <c r="C111" s="91" t="s">
        <v>219</v>
      </c>
      <c r="D111" s="3">
        <f>'Williams data'!B9</f>
        <v>1993</v>
      </c>
      <c r="E111" s="81" t="s">
        <v>220</v>
      </c>
      <c r="F111" s="7" t="s">
        <v>51</v>
      </c>
      <c r="G111" s="7" t="s">
        <v>58</v>
      </c>
      <c r="H111" s="7" t="s">
        <v>47</v>
      </c>
      <c r="I111" s="7" t="s">
        <v>74</v>
      </c>
      <c r="J111" s="7" t="s">
        <v>74</v>
      </c>
      <c r="K111" s="7" t="s">
        <v>74</v>
      </c>
      <c r="L111" s="7" t="s">
        <v>74</v>
      </c>
      <c r="M111" s="7" t="s">
        <v>74</v>
      </c>
      <c r="N111" s="7" t="s">
        <v>53</v>
      </c>
      <c r="O111" s="7" t="s">
        <v>48</v>
      </c>
      <c r="P111" s="7" t="s">
        <v>55</v>
      </c>
      <c r="Q111" s="7" t="s">
        <v>56</v>
      </c>
      <c r="R111" s="7" t="s">
        <v>47</v>
      </c>
      <c r="S111" s="7" t="s">
        <v>53</v>
      </c>
      <c r="T111" s="7" t="s">
        <v>53</v>
      </c>
      <c r="U111" s="7" t="s">
        <v>47</v>
      </c>
      <c r="V111" s="5" t="s">
        <v>221</v>
      </c>
      <c r="W111" s="302">
        <f>'Williams data'!H9</f>
        <v>1.1345385510198169</v>
      </c>
      <c r="X111" s="2"/>
      <c r="Y111" s="2"/>
      <c r="Z111" s="2"/>
      <c r="AA111" s="2"/>
      <c r="AB111" s="2"/>
      <c r="AC111" s="2"/>
      <c r="AD111" s="2"/>
      <c r="AE111" s="2"/>
      <c r="AF111" s="2"/>
      <c r="AG111" s="2"/>
    </row>
    <row r="112" spans="1:33" s="34" customFormat="1" ht="63" x14ac:dyDescent="0.25">
      <c r="A112" s="2"/>
      <c r="B112" s="6" t="s">
        <v>222</v>
      </c>
      <c r="C112" s="3" t="s">
        <v>223</v>
      </c>
      <c r="D112" s="3">
        <f>'Hu data'!B7</f>
        <v>1999</v>
      </c>
      <c r="E112" s="357" t="s">
        <v>224</v>
      </c>
      <c r="F112" s="21" t="s">
        <v>51</v>
      </c>
      <c r="G112" s="3" t="s">
        <v>74</v>
      </c>
      <c r="H112" s="3" t="s">
        <v>47</v>
      </c>
      <c r="I112" s="3" t="s">
        <v>53</v>
      </c>
      <c r="J112" s="3" t="s">
        <v>74</v>
      </c>
      <c r="K112" s="3" t="s">
        <v>225</v>
      </c>
      <c r="L112" s="3" t="s">
        <v>74</v>
      </c>
      <c r="M112" s="3" t="s">
        <v>74</v>
      </c>
      <c r="N112" s="3" t="s">
        <v>53</v>
      </c>
      <c r="O112" s="3" t="s">
        <v>201</v>
      </c>
      <c r="P112" s="3" t="s">
        <v>55</v>
      </c>
      <c r="Q112" s="7" t="s">
        <v>56</v>
      </c>
      <c r="R112" s="3" t="s">
        <v>47</v>
      </c>
      <c r="S112" s="3" t="s">
        <v>53</v>
      </c>
      <c r="T112" s="3" t="s">
        <v>53</v>
      </c>
      <c r="U112" s="3" t="s">
        <v>47</v>
      </c>
      <c r="V112" s="4" t="s">
        <v>226</v>
      </c>
      <c r="W112" s="305">
        <f>'Hu data'!I7</f>
        <v>0.61335990414508845</v>
      </c>
      <c r="X112" s="2"/>
      <c r="Y112" s="2"/>
      <c r="Z112" s="2"/>
      <c r="AA112" s="2"/>
      <c r="AB112" s="2"/>
      <c r="AC112" s="2"/>
      <c r="AD112" s="2"/>
      <c r="AE112" s="2"/>
      <c r="AF112" s="2"/>
      <c r="AG112" s="2"/>
    </row>
    <row r="113" spans="1:33" s="34" customFormat="1" ht="63" x14ac:dyDescent="0.25">
      <c r="A113" s="2"/>
      <c r="B113" s="6" t="s">
        <v>222</v>
      </c>
      <c r="C113" s="3" t="s">
        <v>223</v>
      </c>
      <c r="D113" s="3">
        <f>'Hu data'!B8</f>
        <v>1999</v>
      </c>
      <c r="E113" s="357" t="s">
        <v>227</v>
      </c>
      <c r="F113" s="21" t="s">
        <v>51</v>
      </c>
      <c r="G113" s="3" t="s">
        <v>74</v>
      </c>
      <c r="H113" s="3" t="s">
        <v>47</v>
      </c>
      <c r="I113" s="3" t="s">
        <v>53</v>
      </c>
      <c r="J113" s="3" t="s">
        <v>74</v>
      </c>
      <c r="K113" s="3" t="s">
        <v>225</v>
      </c>
      <c r="L113" s="3" t="s">
        <v>74</v>
      </c>
      <c r="M113" s="3" t="s">
        <v>74</v>
      </c>
      <c r="N113" s="3" t="s">
        <v>53</v>
      </c>
      <c r="O113" s="3" t="s">
        <v>201</v>
      </c>
      <c r="P113" s="3" t="s">
        <v>55</v>
      </c>
      <c r="Q113" s="7" t="s">
        <v>56</v>
      </c>
      <c r="R113" s="3" t="s">
        <v>47</v>
      </c>
      <c r="S113" s="3" t="s">
        <v>53</v>
      </c>
      <c r="T113" s="3" t="s">
        <v>53</v>
      </c>
      <c r="U113" s="3" t="s">
        <v>47</v>
      </c>
      <c r="V113" s="4" t="s">
        <v>226</v>
      </c>
      <c r="W113" s="305">
        <f>'Hu data'!I8</f>
        <v>2.2619862360957597</v>
      </c>
      <c r="X113" s="2"/>
      <c r="Y113" s="2"/>
      <c r="Z113" s="2"/>
      <c r="AA113" s="2"/>
      <c r="AB113" s="2"/>
      <c r="AC113" s="2"/>
      <c r="AD113" s="2"/>
      <c r="AE113" s="2"/>
      <c r="AF113" s="2"/>
      <c r="AG113" s="2"/>
    </row>
    <row r="114" spans="1:33" s="34" customFormat="1" ht="63" x14ac:dyDescent="0.25">
      <c r="A114" s="2"/>
      <c r="B114" s="6" t="s">
        <v>222</v>
      </c>
      <c r="C114" s="3" t="s">
        <v>223</v>
      </c>
      <c r="D114" s="3">
        <f>'Hu data'!B9</f>
        <v>1999</v>
      </c>
      <c r="E114" s="357" t="s">
        <v>228</v>
      </c>
      <c r="F114" s="21" t="s">
        <v>51</v>
      </c>
      <c r="G114" s="3" t="s">
        <v>74</v>
      </c>
      <c r="H114" s="3" t="s">
        <v>47</v>
      </c>
      <c r="I114" s="3" t="s">
        <v>53</v>
      </c>
      <c r="J114" s="3" t="s">
        <v>74</v>
      </c>
      <c r="K114" s="3" t="s">
        <v>225</v>
      </c>
      <c r="L114" s="3" t="s">
        <v>74</v>
      </c>
      <c r="M114" s="3" t="s">
        <v>74</v>
      </c>
      <c r="N114" s="3" t="s">
        <v>53</v>
      </c>
      <c r="O114" s="3" t="s">
        <v>201</v>
      </c>
      <c r="P114" s="3" t="s">
        <v>55</v>
      </c>
      <c r="Q114" s="7" t="s">
        <v>56</v>
      </c>
      <c r="R114" s="3" t="s">
        <v>47</v>
      </c>
      <c r="S114" s="3" t="s">
        <v>53</v>
      </c>
      <c r="T114" s="3" t="s">
        <v>53</v>
      </c>
      <c r="U114" s="3" t="s">
        <v>47</v>
      </c>
      <c r="V114" s="4" t="s">
        <v>226</v>
      </c>
      <c r="W114" s="305">
        <f>'Hu data'!I9</f>
        <v>1.0154120031627361</v>
      </c>
      <c r="X114" s="2"/>
      <c r="Y114" s="2"/>
      <c r="Z114" s="2"/>
      <c r="AA114" s="2"/>
      <c r="AB114" s="2"/>
      <c r="AC114" s="2"/>
      <c r="AD114" s="2"/>
      <c r="AE114" s="2"/>
      <c r="AF114" s="2"/>
      <c r="AG114" s="2"/>
    </row>
    <row r="115" spans="1:33" s="34" customFormat="1" ht="63" x14ac:dyDescent="0.25">
      <c r="A115" s="2"/>
      <c r="B115" s="6" t="s">
        <v>222</v>
      </c>
      <c r="C115" s="3" t="s">
        <v>223</v>
      </c>
      <c r="D115" s="3">
        <f>'Hu data'!B10</f>
        <v>1997</v>
      </c>
      <c r="E115" s="357" t="s">
        <v>229</v>
      </c>
      <c r="F115" s="21" t="s">
        <v>51</v>
      </c>
      <c r="G115" s="3" t="s">
        <v>74</v>
      </c>
      <c r="H115" s="3" t="s">
        <v>47</v>
      </c>
      <c r="I115" s="3" t="s">
        <v>53</v>
      </c>
      <c r="J115" s="3" t="s">
        <v>74</v>
      </c>
      <c r="K115" s="3" t="s">
        <v>225</v>
      </c>
      <c r="L115" s="3" t="s">
        <v>74</v>
      </c>
      <c r="M115" s="3" t="s">
        <v>74</v>
      </c>
      <c r="N115" s="3" t="s">
        <v>53</v>
      </c>
      <c r="O115" s="3" t="s">
        <v>201</v>
      </c>
      <c r="P115" s="3" t="s">
        <v>55</v>
      </c>
      <c r="Q115" s="7" t="s">
        <v>56</v>
      </c>
      <c r="R115" s="3" t="s">
        <v>47</v>
      </c>
      <c r="S115" s="3" t="s">
        <v>53</v>
      </c>
      <c r="T115" s="3" t="s">
        <v>53</v>
      </c>
      <c r="U115" s="3" t="s">
        <v>47</v>
      </c>
      <c r="V115" s="4" t="s">
        <v>226</v>
      </c>
      <c r="W115" s="305">
        <f>'Hu data'!I10</f>
        <v>1.2550832720656724</v>
      </c>
      <c r="X115" s="2"/>
      <c r="Y115" s="2"/>
      <c r="Z115" s="2"/>
      <c r="AA115" s="2"/>
      <c r="AB115" s="2"/>
      <c r="AC115" s="2"/>
      <c r="AD115" s="2"/>
      <c r="AE115" s="2"/>
      <c r="AF115" s="2"/>
      <c r="AG115" s="2"/>
    </row>
    <row r="116" spans="1:33" s="34" customFormat="1" ht="63" x14ac:dyDescent="0.25">
      <c r="A116" s="2"/>
      <c r="B116" s="6" t="s">
        <v>222</v>
      </c>
      <c r="C116" s="3" t="s">
        <v>223</v>
      </c>
      <c r="D116" s="3">
        <f>'Hu data'!B11</f>
        <v>1995</v>
      </c>
      <c r="E116" s="357" t="s">
        <v>230</v>
      </c>
      <c r="F116" s="21" t="s">
        <v>51</v>
      </c>
      <c r="G116" s="3" t="s">
        <v>74</v>
      </c>
      <c r="H116" s="3" t="s">
        <v>47</v>
      </c>
      <c r="I116" s="3" t="s">
        <v>53</v>
      </c>
      <c r="J116" s="3" t="s">
        <v>74</v>
      </c>
      <c r="K116" s="3" t="s">
        <v>225</v>
      </c>
      <c r="L116" s="3" t="s">
        <v>74</v>
      </c>
      <c r="M116" s="3" t="s">
        <v>74</v>
      </c>
      <c r="N116" s="3" t="s">
        <v>53</v>
      </c>
      <c r="O116" s="3" t="s">
        <v>201</v>
      </c>
      <c r="P116" s="3" t="s">
        <v>55</v>
      </c>
      <c r="Q116" s="7" t="s">
        <v>56</v>
      </c>
      <c r="R116" s="3" t="s">
        <v>47</v>
      </c>
      <c r="S116" s="3" t="s">
        <v>53</v>
      </c>
      <c r="T116" s="3" t="s">
        <v>53</v>
      </c>
      <c r="U116" s="3" t="s">
        <v>47</v>
      </c>
      <c r="V116" s="4" t="s">
        <v>226</v>
      </c>
      <c r="W116" s="305">
        <f>'Hu data'!I11</f>
        <v>0.99981209808621352</v>
      </c>
      <c r="X116" s="2"/>
      <c r="Y116" s="2"/>
      <c r="Z116" s="2"/>
      <c r="AA116" s="2"/>
      <c r="AB116" s="2"/>
      <c r="AC116" s="2"/>
      <c r="AD116" s="2"/>
      <c r="AE116" s="2"/>
      <c r="AF116" s="2"/>
      <c r="AG116" s="2"/>
    </row>
    <row r="117" spans="1:33" s="34" customFormat="1" ht="63" x14ac:dyDescent="0.25">
      <c r="A117" s="2"/>
      <c r="B117" s="6" t="s">
        <v>222</v>
      </c>
      <c r="C117" s="3" t="s">
        <v>223</v>
      </c>
      <c r="D117" s="3">
        <f>'Hu data'!B12</f>
        <v>1988</v>
      </c>
      <c r="E117" s="357" t="s">
        <v>231</v>
      </c>
      <c r="F117" s="21" t="s">
        <v>51</v>
      </c>
      <c r="G117" s="3" t="s">
        <v>74</v>
      </c>
      <c r="H117" s="3" t="s">
        <v>47</v>
      </c>
      <c r="I117" s="3" t="s">
        <v>53</v>
      </c>
      <c r="J117" s="3" t="s">
        <v>74</v>
      </c>
      <c r="K117" s="3" t="s">
        <v>225</v>
      </c>
      <c r="L117" s="3" t="s">
        <v>74</v>
      </c>
      <c r="M117" s="3" t="s">
        <v>74</v>
      </c>
      <c r="N117" s="3" t="s">
        <v>53</v>
      </c>
      <c r="O117" s="3" t="s">
        <v>201</v>
      </c>
      <c r="P117" s="3" t="s">
        <v>55</v>
      </c>
      <c r="Q117" s="7" t="s">
        <v>56</v>
      </c>
      <c r="R117" s="3" t="s">
        <v>47</v>
      </c>
      <c r="S117" s="3" t="s">
        <v>53</v>
      </c>
      <c r="T117" s="3" t="s">
        <v>53</v>
      </c>
      <c r="U117" s="3" t="s">
        <v>47</v>
      </c>
      <c r="V117" s="4" t="s">
        <v>226</v>
      </c>
      <c r="W117" s="305">
        <f>'Hu data'!I12</f>
        <v>1.3189010655605371</v>
      </c>
      <c r="X117" s="2"/>
      <c r="Y117" s="2"/>
      <c r="Z117" s="2"/>
      <c r="AA117" s="2"/>
      <c r="AB117" s="2"/>
      <c r="AC117" s="2"/>
      <c r="AD117" s="2"/>
      <c r="AE117" s="2"/>
      <c r="AF117" s="2"/>
      <c r="AG117" s="2"/>
    </row>
    <row r="118" spans="1:33" s="34" customFormat="1" ht="63" x14ac:dyDescent="0.25">
      <c r="A118" s="2"/>
      <c r="B118" s="6" t="s">
        <v>222</v>
      </c>
      <c r="C118" s="3" t="s">
        <v>223</v>
      </c>
      <c r="D118" s="3">
        <f>'Hu data'!B13</f>
        <v>1984</v>
      </c>
      <c r="E118" s="357" t="s">
        <v>232</v>
      </c>
      <c r="F118" s="21" t="s">
        <v>51</v>
      </c>
      <c r="G118" s="3" t="s">
        <v>74</v>
      </c>
      <c r="H118" s="3" t="s">
        <v>47</v>
      </c>
      <c r="I118" s="3" t="s">
        <v>53</v>
      </c>
      <c r="J118" s="3" t="s">
        <v>74</v>
      </c>
      <c r="K118" s="3" t="s">
        <v>225</v>
      </c>
      <c r="L118" s="3" t="s">
        <v>74</v>
      </c>
      <c r="M118" s="3" t="s">
        <v>74</v>
      </c>
      <c r="N118" s="3" t="s">
        <v>53</v>
      </c>
      <c r="O118" s="3" t="s">
        <v>201</v>
      </c>
      <c r="P118" s="3" t="s">
        <v>55</v>
      </c>
      <c r="Q118" s="7" t="s">
        <v>56</v>
      </c>
      <c r="R118" s="3" t="s">
        <v>47</v>
      </c>
      <c r="S118" s="3" t="s">
        <v>53</v>
      </c>
      <c r="T118" s="3" t="s">
        <v>53</v>
      </c>
      <c r="U118" s="3" t="s">
        <v>47</v>
      </c>
      <c r="V118" s="4" t="s">
        <v>226</v>
      </c>
      <c r="W118" s="305">
        <f>'Hu data'!I13</f>
        <v>2.3116222977028764</v>
      </c>
      <c r="X118" s="2"/>
      <c r="Y118" s="2"/>
      <c r="Z118" s="2"/>
      <c r="AA118" s="2"/>
      <c r="AB118" s="2"/>
      <c r="AC118" s="2"/>
      <c r="AD118" s="2"/>
      <c r="AE118" s="2"/>
      <c r="AF118" s="2"/>
      <c r="AG118" s="2"/>
    </row>
    <row r="119" spans="1:33" s="34" customFormat="1" ht="63" x14ac:dyDescent="0.25">
      <c r="A119" s="2"/>
      <c r="B119" s="6" t="s">
        <v>222</v>
      </c>
      <c r="C119" s="3" t="s">
        <v>223</v>
      </c>
      <c r="D119" s="3">
        <f>'Hu data'!B14</f>
        <v>1983</v>
      </c>
      <c r="E119" s="357" t="s">
        <v>233</v>
      </c>
      <c r="F119" s="21" t="s">
        <v>51</v>
      </c>
      <c r="G119" s="3" t="s">
        <v>74</v>
      </c>
      <c r="H119" s="3" t="s">
        <v>47</v>
      </c>
      <c r="I119" s="3" t="s">
        <v>53</v>
      </c>
      <c r="J119" s="3" t="s">
        <v>74</v>
      </c>
      <c r="K119" s="3" t="s">
        <v>225</v>
      </c>
      <c r="L119" s="3" t="s">
        <v>74</v>
      </c>
      <c r="M119" s="3" t="s">
        <v>74</v>
      </c>
      <c r="N119" s="3" t="s">
        <v>53</v>
      </c>
      <c r="O119" s="3" t="s">
        <v>201</v>
      </c>
      <c r="P119" s="3" t="s">
        <v>55</v>
      </c>
      <c r="Q119" s="7" t="s">
        <v>56</v>
      </c>
      <c r="R119" s="3" t="s">
        <v>47</v>
      </c>
      <c r="S119" s="3" t="s">
        <v>53</v>
      </c>
      <c r="T119" s="3" t="s">
        <v>53</v>
      </c>
      <c r="U119" s="3" t="s">
        <v>47</v>
      </c>
      <c r="V119" s="4" t="s">
        <v>226</v>
      </c>
      <c r="W119" s="305">
        <f>'Hu data'!I14</f>
        <v>2.1981684426008949</v>
      </c>
      <c r="X119" s="2"/>
      <c r="Y119" s="2"/>
      <c r="Z119" s="2"/>
      <c r="AA119" s="2"/>
      <c r="AB119" s="2"/>
      <c r="AC119" s="2"/>
      <c r="AD119" s="2"/>
      <c r="AE119" s="2"/>
      <c r="AF119" s="2"/>
      <c r="AG119" s="2"/>
    </row>
    <row r="120" spans="1:33" s="34" customFormat="1" ht="47.25" x14ac:dyDescent="0.25">
      <c r="A120" s="2"/>
      <c r="B120" s="6" t="s">
        <v>234</v>
      </c>
      <c r="C120" s="3" t="s">
        <v>235</v>
      </c>
      <c r="D120" s="3">
        <f>'Branham data'!B6</f>
        <v>2007</v>
      </c>
      <c r="E120" s="357" t="s">
        <v>236</v>
      </c>
      <c r="F120" s="21" t="s">
        <v>51</v>
      </c>
      <c r="G120" s="3" t="s">
        <v>46</v>
      </c>
      <c r="H120" s="3" t="s">
        <v>47</v>
      </c>
      <c r="I120" s="3" t="s">
        <v>53</v>
      </c>
      <c r="J120" s="3" t="s">
        <v>74</v>
      </c>
      <c r="K120" s="3" t="s">
        <v>74</v>
      </c>
      <c r="L120" s="3" t="s">
        <v>74</v>
      </c>
      <c r="M120" s="3" t="s">
        <v>47</v>
      </c>
      <c r="N120" s="3" t="s">
        <v>74</v>
      </c>
      <c r="O120" s="3" t="s">
        <v>237</v>
      </c>
      <c r="P120" s="3" t="s">
        <v>173</v>
      </c>
      <c r="Q120" s="7" t="s">
        <v>61</v>
      </c>
      <c r="R120" s="3" t="s">
        <v>47</v>
      </c>
      <c r="S120" s="3" t="s">
        <v>113</v>
      </c>
      <c r="T120" s="3" t="s">
        <v>47</v>
      </c>
      <c r="U120" s="3" t="s">
        <v>47</v>
      </c>
      <c r="V120" s="4" t="s">
        <v>238</v>
      </c>
      <c r="W120" s="305">
        <f>'Branham data'!G6</f>
        <v>1.0849024894127</v>
      </c>
      <c r="X120" s="2"/>
      <c r="Y120" s="2"/>
      <c r="Z120" s="2"/>
      <c r="AA120" s="2"/>
      <c r="AB120" s="2"/>
      <c r="AC120" s="2"/>
      <c r="AD120" s="2"/>
      <c r="AE120" s="2"/>
      <c r="AF120" s="2"/>
      <c r="AG120" s="2"/>
    </row>
    <row r="121" spans="1:33" s="34" customFormat="1" ht="47.25" x14ac:dyDescent="0.25">
      <c r="A121" s="2"/>
      <c r="B121" s="6" t="s">
        <v>234</v>
      </c>
      <c r="C121" s="3" t="s">
        <v>235</v>
      </c>
      <c r="D121" s="3">
        <f>'Branham data'!B7</f>
        <v>2007</v>
      </c>
      <c r="E121" s="357" t="s">
        <v>239</v>
      </c>
      <c r="F121" s="21" t="s">
        <v>51</v>
      </c>
      <c r="G121" s="3" t="s">
        <v>46</v>
      </c>
      <c r="H121" s="3" t="s">
        <v>47</v>
      </c>
      <c r="I121" s="3" t="s">
        <v>53</v>
      </c>
      <c r="J121" s="3" t="s">
        <v>74</v>
      </c>
      <c r="K121" s="3" t="s">
        <v>74</v>
      </c>
      <c r="L121" s="3" t="s">
        <v>74</v>
      </c>
      <c r="M121" s="3" t="s">
        <v>47</v>
      </c>
      <c r="N121" s="3" t="s">
        <v>74</v>
      </c>
      <c r="O121" s="3" t="s">
        <v>237</v>
      </c>
      <c r="P121" s="3" t="s">
        <v>173</v>
      </c>
      <c r="Q121" s="7" t="s">
        <v>61</v>
      </c>
      <c r="R121" s="3" t="s">
        <v>47</v>
      </c>
      <c r="S121" s="3" t="s">
        <v>113</v>
      </c>
      <c r="T121" s="3" t="s">
        <v>47</v>
      </c>
      <c r="U121" s="3" t="s">
        <v>47</v>
      </c>
      <c r="V121" s="4" t="s">
        <v>238</v>
      </c>
      <c r="W121" s="305">
        <f>'Branham data'!G7</f>
        <v>1.3047193336727894</v>
      </c>
      <c r="X121" s="2"/>
      <c r="Y121" s="2"/>
      <c r="Z121" s="2"/>
      <c r="AA121" s="2"/>
      <c r="AB121" s="2"/>
      <c r="AC121" s="2"/>
      <c r="AD121" s="2"/>
      <c r="AE121" s="2"/>
      <c r="AF121" s="2"/>
      <c r="AG121" s="2"/>
    </row>
    <row r="122" spans="1:33" s="34" customFormat="1" ht="47.25" x14ac:dyDescent="0.25">
      <c r="A122" s="2"/>
      <c r="B122" s="6" t="s">
        <v>234</v>
      </c>
      <c r="C122" s="3" t="s">
        <v>235</v>
      </c>
      <c r="D122" s="3">
        <f>'Branham data'!B8</f>
        <v>2007</v>
      </c>
      <c r="E122" s="357" t="s">
        <v>240</v>
      </c>
      <c r="F122" s="21" t="s">
        <v>51</v>
      </c>
      <c r="G122" s="3" t="s">
        <v>46</v>
      </c>
      <c r="H122" s="3" t="s">
        <v>47</v>
      </c>
      <c r="I122" s="3" t="s">
        <v>53</v>
      </c>
      <c r="J122" s="3" t="s">
        <v>74</v>
      </c>
      <c r="K122" s="3" t="s">
        <v>74</v>
      </c>
      <c r="L122" s="3" t="s">
        <v>74</v>
      </c>
      <c r="M122" s="3" t="s">
        <v>47</v>
      </c>
      <c r="N122" s="3" t="s">
        <v>74</v>
      </c>
      <c r="O122" s="3" t="s">
        <v>237</v>
      </c>
      <c r="P122" s="3" t="s">
        <v>173</v>
      </c>
      <c r="Q122" s="7" t="s">
        <v>61</v>
      </c>
      <c r="R122" s="3" t="s">
        <v>47</v>
      </c>
      <c r="S122" s="3" t="s">
        <v>113</v>
      </c>
      <c r="T122" s="3" t="s">
        <v>47</v>
      </c>
      <c r="U122" s="3" t="s">
        <v>47</v>
      </c>
      <c r="V122" s="4" t="s">
        <v>238</v>
      </c>
      <c r="W122" s="305">
        <f>'Branham data'!G8</f>
        <v>1.4323549206625186</v>
      </c>
      <c r="X122" s="2"/>
      <c r="Y122" s="2"/>
      <c r="Z122" s="2"/>
      <c r="AA122" s="2"/>
      <c r="AB122" s="2"/>
      <c r="AC122" s="2"/>
      <c r="AD122" s="2"/>
      <c r="AE122" s="2"/>
      <c r="AF122" s="2"/>
      <c r="AG122" s="2"/>
    </row>
    <row r="123" spans="1:33" s="34" customFormat="1" ht="47.25" x14ac:dyDescent="0.25">
      <c r="A123" s="2"/>
      <c r="B123" s="6" t="s">
        <v>234</v>
      </c>
      <c r="C123" s="3" t="s">
        <v>235</v>
      </c>
      <c r="D123" s="3">
        <f>'Branham data'!B9</f>
        <v>2007</v>
      </c>
      <c r="E123" s="357" t="s">
        <v>241</v>
      </c>
      <c r="F123" s="21" t="s">
        <v>51</v>
      </c>
      <c r="G123" s="3" t="s">
        <v>46</v>
      </c>
      <c r="H123" s="3" t="s">
        <v>47</v>
      </c>
      <c r="I123" s="3" t="s">
        <v>53</v>
      </c>
      <c r="J123" s="3" t="s">
        <v>74</v>
      </c>
      <c r="K123" s="3" t="s">
        <v>74</v>
      </c>
      <c r="L123" s="3" t="s">
        <v>74</v>
      </c>
      <c r="M123" s="3" t="s">
        <v>47</v>
      </c>
      <c r="N123" s="3" t="s">
        <v>74</v>
      </c>
      <c r="O123" s="3" t="s">
        <v>237</v>
      </c>
      <c r="P123" s="3" t="s">
        <v>173</v>
      </c>
      <c r="Q123" s="7" t="s">
        <v>61</v>
      </c>
      <c r="R123" s="3" t="s">
        <v>47</v>
      </c>
      <c r="S123" s="3" t="s">
        <v>113</v>
      </c>
      <c r="T123" s="3" t="s">
        <v>47</v>
      </c>
      <c r="U123" s="3" t="s">
        <v>47</v>
      </c>
      <c r="V123" s="4" t="s">
        <v>238</v>
      </c>
      <c r="W123" s="305">
        <f>'Branham data'!G9</f>
        <v>1.503263580101257</v>
      </c>
      <c r="X123" s="2"/>
      <c r="Y123" s="2"/>
      <c r="Z123" s="2"/>
      <c r="AA123" s="2"/>
      <c r="AB123" s="2"/>
      <c r="AC123" s="2"/>
      <c r="AD123" s="2"/>
      <c r="AE123" s="2"/>
      <c r="AF123" s="2"/>
      <c r="AG123" s="2"/>
    </row>
    <row r="124" spans="1:33" s="34" customFormat="1" ht="47.25" x14ac:dyDescent="0.25">
      <c r="A124" s="2"/>
      <c r="B124" s="6" t="s">
        <v>234</v>
      </c>
      <c r="C124" s="3" t="s">
        <v>235</v>
      </c>
      <c r="D124" s="3">
        <f>'Branham data'!B10</f>
        <v>2006</v>
      </c>
      <c r="E124" s="357" t="s">
        <v>242</v>
      </c>
      <c r="F124" s="21" t="s">
        <v>51</v>
      </c>
      <c r="G124" s="3" t="s">
        <v>46</v>
      </c>
      <c r="H124" s="3" t="s">
        <v>47</v>
      </c>
      <c r="I124" s="3" t="s">
        <v>53</v>
      </c>
      <c r="J124" s="3" t="s">
        <v>74</v>
      </c>
      <c r="K124" s="3" t="s">
        <v>74</v>
      </c>
      <c r="L124" s="3" t="s">
        <v>74</v>
      </c>
      <c r="M124" s="3" t="s">
        <v>47</v>
      </c>
      <c r="N124" s="3" t="s">
        <v>74</v>
      </c>
      <c r="O124" s="3" t="s">
        <v>237</v>
      </c>
      <c r="P124" s="3" t="s">
        <v>173</v>
      </c>
      <c r="Q124" s="7" t="s">
        <v>61</v>
      </c>
      <c r="R124" s="3" t="s">
        <v>47</v>
      </c>
      <c r="S124" s="3" t="s">
        <v>113</v>
      </c>
      <c r="T124" s="3" t="s">
        <v>47</v>
      </c>
      <c r="U124" s="3" t="s">
        <v>47</v>
      </c>
      <c r="V124" s="4" t="s">
        <v>238</v>
      </c>
      <c r="W124" s="305">
        <f>'Branham data'!G10</f>
        <v>1.4465366525502665</v>
      </c>
      <c r="X124" s="2"/>
      <c r="Y124" s="2"/>
      <c r="Z124" s="2"/>
      <c r="AA124" s="2"/>
      <c r="AB124" s="2"/>
      <c r="AC124" s="2"/>
      <c r="AD124" s="2"/>
      <c r="AE124" s="2"/>
      <c r="AF124" s="2"/>
      <c r="AG124" s="2"/>
    </row>
    <row r="125" spans="1:33" s="34" customFormat="1" ht="47.25" x14ac:dyDescent="0.25">
      <c r="A125" s="2"/>
      <c r="B125" s="6" t="s">
        <v>234</v>
      </c>
      <c r="C125" s="3" t="s">
        <v>235</v>
      </c>
      <c r="D125" s="3">
        <f>'Branham data'!B11</f>
        <v>2006</v>
      </c>
      <c r="E125" s="357" t="s">
        <v>243</v>
      </c>
      <c r="F125" s="21" t="s">
        <v>51</v>
      </c>
      <c r="G125" s="3" t="s">
        <v>46</v>
      </c>
      <c r="H125" s="3" t="s">
        <v>47</v>
      </c>
      <c r="I125" s="3" t="s">
        <v>53</v>
      </c>
      <c r="J125" s="3" t="s">
        <v>74</v>
      </c>
      <c r="K125" s="3" t="s">
        <v>74</v>
      </c>
      <c r="L125" s="3" t="s">
        <v>74</v>
      </c>
      <c r="M125" s="3" t="s">
        <v>47</v>
      </c>
      <c r="N125" s="3" t="s">
        <v>74</v>
      </c>
      <c r="O125" s="3" t="s">
        <v>237</v>
      </c>
      <c r="P125" s="3" t="s">
        <v>173</v>
      </c>
      <c r="Q125" s="7" t="s">
        <v>61</v>
      </c>
      <c r="R125" s="3" t="s">
        <v>47</v>
      </c>
      <c r="S125" s="3" t="s">
        <v>113</v>
      </c>
      <c r="T125" s="3" t="s">
        <v>47</v>
      </c>
      <c r="U125" s="3" t="s">
        <v>47</v>
      </c>
      <c r="V125" s="4" t="s">
        <v>238</v>
      </c>
      <c r="W125" s="305">
        <f>'Branham data'!G11</f>
        <v>1.9641698664530578</v>
      </c>
      <c r="X125" s="2"/>
      <c r="Y125" s="2"/>
      <c r="Z125" s="2"/>
      <c r="AA125" s="2"/>
      <c r="AB125" s="2"/>
      <c r="AC125" s="2"/>
      <c r="AD125" s="2"/>
      <c r="AE125" s="2"/>
      <c r="AF125" s="2"/>
      <c r="AG125" s="2"/>
    </row>
    <row r="126" spans="1:33" s="34" customFormat="1" ht="47.25" x14ac:dyDescent="0.25">
      <c r="A126" s="2"/>
      <c r="B126" s="6" t="s">
        <v>234</v>
      </c>
      <c r="C126" s="3" t="s">
        <v>235</v>
      </c>
      <c r="D126" s="3">
        <f>'Branham data'!B12</f>
        <v>2006</v>
      </c>
      <c r="E126" s="357" t="s">
        <v>244</v>
      </c>
      <c r="F126" s="21" t="s">
        <v>51</v>
      </c>
      <c r="G126" s="3" t="s">
        <v>46</v>
      </c>
      <c r="H126" s="3" t="s">
        <v>47</v>
      </c>
      <c r="I126" s="3" t="s">
        <v>53</v>
      </c>
      <c r="J126" s="3" t="s">
        <v>74</v>
      </c>
      <c r="K126" s="3" t="s">
        <v>74</v>
      </c>
      <c r="L126" s="3" t="s">
        <v>74</v>
      </c>
      <c r="M126" s="3" t="s">
        <v>47</v>
      </c>
      <c r="N126" s="3" t="s">
        <v>74</v>
      </c>
      <c r="O126" s="3" t="s">
        <v>237</v>
      </c>
      <c r="P126" s="3" t="s">
        <v>173</v>
      </c>
      <c r="Q126" s="7" t="s">
        <v>61</v>
      </c>
      <c r="R126" s="3" t="s">
        <v>47</v>
      </c>
      <c r="S126" s="3" t="s">
        <v>113</v>
      </c>
      <c r="T126" s="3" t="s">
        <v>47</v>
      </c>
      <c r="U126" s="3" t="s">
        <v>47</v>
      </c>
      <c r="V126" s="4" t="s">
        <v>238</v>
      </c>
      <c r="W126" s="305">
        <f>'Branham data'!G12</f>
        <v>1.9145338048459408</v>
      </c>
      <c r="X126" s="2"/>
      <c r="Y126" s="2"/>
      <c r="Z126" s="2"/>
      <c r="AA126" s="2"/>
      <c r="AB126" s="2"/>
      <c r="AC126" s="2"/>
      <c r="AD126" s="2"/>
      <c r="AE126" s="2"/>
      <c r="AF126" s="2"/>
      <c r="AG126" s="2"/>
    </row>
    <row r="127" spans="1:33" s="34" customFormat="1" ht="63" x14ac:dyDescent="0.25">
      <c r="A127" s="2"/>
      <c r="B127" s="6" t="s">
        <v>245</v>
      </c>
      <c r="C127" s="3" t="s">
        <v>246</v>
      </c>
      <c r="D127" s="3">
        <v>2002</v>
      </c>
      <c r="E127" s="357" t="s">
        <v>247</v>
      </c>
      <c r="F127" s="21" t="s">
        <v>45</v>
      </c>
      <c r="G127" s="3" t="s">
        <v>46</v>
      </c>
      <c r="H127" s="3" t="s">
        <v>47</v>
      </c>
      <c r="I127" s="3" t="s">
        <v>53</v>
      </c>
      <c r="J127" s="3">
        <v>130</v>
      </c>
      <c r="K127" s="3" t="s">
        <v>225</v>
      </c>
      <c r="L127" s="3" t="s">
        <v>47</v>
      </c>
      <c r="M127" s="3" t="s">
        <v>53</v>
      </c>
      <c r="N127" s="3" t="s">
        <v>53</v>
      </c>
      <c r="O127" s="3" t="s">
        <v>54</v>
      </c>
      <c r="P127" s="3" t="s">
        <v>55</v>
      </c>
      <c r="Q127" s="7" t="s">
        <v>50</v>
      </c>
      <c r="R127" s="3" t="s">
        <v>47</v>
      </c>
      <c r="S127" s="3" t="s">
        <v>53</v>
      </c>
      <c r="T127" s="3" t="s">
        <v>47</v>
      </c>
      <c r="U127" s="3" t="s">
        <v>53</v>
      </c>
      <c r="V127" s="4" t="s">
        <v>248</v>
      </c>
      <c r="W127" s="305">
        <f>'Murphy data'!J12</f>
        <v>0.91284711001594454</v>
      </c>
      <c r="X127" s="2"/>
      <c r="Y127" s="2"/>
      <c r="Z127" s="2"/>
      <c r="AA127" s="2"/>
      <c r="AB127" s="2"/>
      <c r="AC127" s="2"/>
      <c r="AD127" s="2"/>
      <c r="AE127" s="2"/>
      <c r="AF127" s="2"/>
      <c r="AG127" s="2"/>
    </row>
    <row r="128" spans="1:33" s="34" customFormat="1" ht="63" x14ac:dyDescent="0.25">
      <c r="A128" s="2"/>
      <c r="B128" s="6" t="s">
        <v>245</v>
      </c>
      <c r="C128" s="3" t="s">
        <v>246</v>
      </c>
      <c r="D128" s="3">
        <v>2002</v>
      </c>
      <c r="E128" s="357" t="s">
        <v>247</v>
      </c>
      <c r="F128" s="21" t="s">
        <v>45</v>
      </c>
      <c r="G128" s="3" t="s">
        <v>46</v>
      </c>
      <c r="H128" s="3" t="s">
        <v>47</v>
      </c>
      <c r="I128" s="3" t="s">
        <v>53</v>
      </c>
      <c r="J128" s="3">
        <v>130</v>
      </c>
      <c r="K128" s="3" t="s">
        <v>225</v>
      </c>
      <c r="L128" s="3" t="s">
        <v>47</v>
      </c>
      <c r="M128" s="3" t="s">
        <v>53</v>
      </c>
      <c r="N128" s="3" t="s">
        <v>53</v>
      </c>
      <c r="O128" s="3" t="s">
        <v>54</v>
      </c>
      <c r="P128" s="3" t="s">
        <v>55</v>
      </c>
      <c r="Q128" s="7" t="s">
        <v>50</v>
      </c>
      <c r="R128" s="3" t="s">
        <v>47</v>
      </c>
      <c r="S128" s="3" t="s">
        <v>53</v>
      </c>
      <c r="T128" s="3" t="s">
        <v>47</v>
      </c>
      <c r="U128" s="3" t="s">
        <v>53</v>
      </c>
      <c r="V128" s="4" t="s">
        <v>249</v>
      </c>
      <c r="W128" s="305">
        <f>'Murphy data'!J13</f>
        <v>1.1030235912692663</v>
      </c>
      <c r="X128" s="2"/>
      <c r="Y128" s="2"/>
      <c r="Z128" s="2"/>
      <c r="AA128" s="2"/>
      <c r="AB128" s="2"/>
      <c r="AC128" s="2"/>
      <c r="AD128" s="2"/>
      <c r="AE128" s="2"/>
      <c r="AF128" s="2"/>
      <c r="AG128" s="2"/>
    </row>
    <row r="129" spans="1:33" s="34" customFormat="1" ht="47.25" x14ac:dyDescent="0.25">
      <c r="A129" s="2"/>
      <c r="B129" s="6" t="s">
        <v>250</v>
      </c>
      <c r="C129" s="3" t="s">
        <v>251</v>
      </c>
      <c r="D129" s="3">
        <f>'Yao data'!B6</f>
        <v>2008</v>
      </c>
      <c r="E129" s="357" t="s">
        <v>252</v>
      </c>
      <c r="F129" s="21" t="s">
        <v>51</v>
      </c>
      <c r="G129" s="3" t="s">
        <v>74</v>
      </c>
      <c r="H129" s="3" t="s">
        <v>47</v>
      </c>
      <c r="I129" s="3" t="s">
        <v>53</v>
      </c>
      <c r="J129" s="3" t="s">
        <v>74</v>
      </c>
      <c r="K129" s="3" t="s">
        <v>74</v>
      </c>
      <c r="L129" s="3" t="s">
        <v>74</v>
      </c>
      <c r="M129" s="3" t="s">
        <v>74</v>
      </c>
      <c r="N129" s="3" t="s">
        <v>53</v>
      </c>
      <c r="O129" s="3" t="s">
        <v>74</v>
      </c>
      <c r="P129" s="3" t="s">
        <v>55</v>
      </c>
      <c r="Q129" s="7" t="s">
        <v>56</v>
      </c>
      <c r="R129" s="3" t="s">
        <v>47</v>
      </c>
      <c r="S129" s="3" t="s">
        <v>53</v>
      </c>
      <c r="T129" s="3" t="s">
        <v>53</v>
      </c>
      <c r="U129" s="3" t="s">
        <v>47</v>
      </c>
      <c r="V129" s="4" t="s">
        <v>253</v>
      </c>
      <c r="W129" s="305">
        <f>'Yao data'!H6</f>
        <v>0.73745005816288089</v>
      </c>
      <c r="X129" s="2"/>
      <c r="Y129" s="2"/>
      <c r="Z129" s="2"/>
      <c r="AA129" s="2"/>
      <c r="AB129" s="2"/>
      <c r="AC129" s="2"/>
      <c r="AD129" s="2"/>
      <c r="AE129" s="2"/>
      <c r="AF129" s="2"/>
      <c r="AG129" s="2"/>
    </row>
    <row r="130" spans="1:33" s="34" customFormat="1" ht="47.25" x14ac:dyDescent="0.25">
      <c r="A130" s="2"/>
      <c r="B130" s="6" t="s">
        <v>250</v>
      </c>
      <c r="C130" s="3" t="s">
        <v>251</v>
      </c>
      <c r="D130" s="3">
        <f>'Yao data'!B7</f>
        <v>2007</v>
      </c>
      <c r="E130" s="357" t="s">
        <v>252</v>
      </c>
      <c r="F130" s="21" t="s">
        <v>51</v>
      </c>
      <c r="G130" s="3" t="s">
        <v>74</v>
      </c>
      <c r="H130" s="3" t="s">
        <v>47</v>
      </c>
      <c r="I130" s="3" t="s">
        <v>53</v>
      </c>
      <c r="J130" s="3" t="s">
        <v>74</v>
      </c>
      <c r="K130" s="3" t="s">
        <v>74</v>
      </c>
      <c r="L130" s="3" t="s">
        <v>74</v>
      </c>
      <c r="M130" s="3" t="s">
        <v>74</v>
      </c>
      <c r="N130" s="3" t="s">
        <v>53</v>
      </c>
      <c r="O130" s="3" t="s">
        <v>74</v>
      </c>
      <c r="P130" s="3" t="s">
        <v>55</v>
      </c>
      <c r="Q130" s="7" t="s">
        <v>56</v>
      </c>
      <c r="R130" s="3" t="s">
        <v>47</v>
      </c>
      <c r="S130" s="3" t="s">
        <v>53</v>
      </c>
      <c r="T130" s="3" t="s">
        <v>53</v>
      </c>
      <c r="U130" s="3" t="s">
        <v>47</v>
      </c>
      <c r="V130" s="4" t="s">
        <v>253</v>
      </c>
      <c r="W130" s="305">
        <f>'Yao data'!H7</f>
        <v>0.73745005816288089</v>
      </c>
      <c r="X130" s="2"/>
      <c r="Y130" s="2"/>
      <c r="Z130" s="2"/>
      <c r="AA130" s="2"/>
      <c r="AB130" s="2"/>
      <c r="AC130" s="2"/>
      <c r="AD130" s="2"/>
      <c r="AE130" s="2"/>
      <c r="AF130" s="2"/>
      <c r="AG130" s="2"/>
    </row>
    <row r="131" spans="1:33" s="34" customFormat="1" ht="47.25" x14ac:dyDescent="0.25">
      <c r="A131" s="2"/>
      <c r="B131" s="6" t="s">
        <v>250</v>
      </c>
      <c r="C131" s="3" t="s">
        <v>251</v>
      </c>
      <c r="D131" s="3">
        <f>'Yao data'!B8</f>
        <v>2006</v>
      </c>
      <c r="E131" s="357" t="s">
        <v>252</v>
      </c>
      <c r="F131" s="21" t="s">
        <v>51</v>
      </c>
      <c r="G131" s="3" t="s">
        <v>74</v>
      </c>
      <c r="H131" s="3" t="s">
        <v>47</v>
      </c>
      <c r="I131" s="3" t="s">
        <v>53</v>
      </c>
      <c r="J131" s="3" t="s">
        <v>74</v>
      </c>
      <c r="K131" s="3" t="s">
        <v>74</v>
      </c>
      <c r="L131" s="3" t="s">
        <v>74</v>
      </c>
      <c r="M131" s="3" t="s">
        <v>74</v>
      </c>
      <c r="N131" s="3" t="s">
        <v>53</v>
      </c>
      <c r="O131" s="3" t="s">
        <v>74</v>
      </c>
      <c r="P131" s="3" t="s">
        <v>55</v>
      </c>
      <c r="Q131" s="7" t="s">
        <v>56</v>
      </c>
      <c r="R131" s="3" t="s">
        <v>47</v>
      </c>
      <c r="S131" s="3" t="s">
        <v>53</v>
      </c>
      <c r="T131" s="3" t="s">
        <v>53</v>
      </c>
      <c r="U131" s="3" t="s">
        <v>47</v>
      </c>
      <c r="V131" s="4" t="s">
        <v>253</v>
      </c>
      <c r="W131" s="305">
        <f>'Yao data'!H8</f>
        <v>0.88635824298423194</v>
      </c>
      <c r="X131" s="2"/>
      <c r="Y131" s="2"/>
      <c r="Z131" s="2"/>
      <c r="AA131" s="2"/>
      <c r="AB131" s="2"/>
      <c r="AC131" s="2"/>
      <c r="AD131" s="2"/>
      <c r="AE131" s="2"/>
      <c r="AF131" s="2"/>
      <c r="AG131" s="2"/>
    </row>
    <row r="132" spans="1:33" s="34" customFormat="1" ht="47.25" x14ac:dyDescent="0.25">
      <c r="A132" s="2"/>
      <c r="B132" s="6" t="s">
        <v>250</v>
      </c>
      <c r="C132" s="3" t="s">
        <v>251</v>
      </c>
      <c r="D132" s="3">
        <f>'Yao data'!B9</f>
        <v>2005</v>
      </c>
      <c r="E132" s="357" t="s">
        <v>252</v>
      </c>
      <c r="F132" s="21" t="s">
        <v>51</v>
      </c>
      <c r="G132" s="3" t="s">
        <v>74</v>
      </c>
      <c r="H132" s="3" t="s">
        <v>47</v>
      </c>
      <c r="I132" s="3" t="s">
        <v>53</v>
      </c>
      <c r="J132" s="3" t="s">
        <v>74</v>
      </c>
      <c r="K132" s="3" t="s">
        <v>74</v>
      </c>
      <c r="L132" s="3" t="s">
        <v>74</v>
      </c>
      <c r="M132" s="3" t="s">
        <v>74</v>
      </c>
      <c r="N132" s="3" t="s">
        <v>53</v>
      </c>
      <c r="O132" s="3" t="s">
        <v>74</v>
      </c>
      <c r="P132" s="3" t="s">
        <v>55</v>
      </c>
      <c r="Q132" s="7" t="s">
        <v>56</v>
      </c>
      <c r="R132" s="3" t="s">
        <v>47</v>
      </c>
      <c r="S132" s="3" t="s">
        <v>53</v>
      </c>
      <c r="T132" s="3" t="s">
        <v>53</v>
      </c>
      <c r="U132" s="3" t="s">
        <v>47</v>
      </c>
      <c r="V132" s="4" t="s">
        <v>253</v>
      </c>
      <c r="W132" s="305">
        <f>'Yao data'!H9</f>
        <v>0.96435776836684439</v>
      </c>
      <c r="X132" s="2"/>
      <c r="Y132" s="2"/>
      <c r="Z132" s="2"/>
      <c r="AA132" s="2"/>
      <c r="AB132" s="2"/>
      <c r="AC132" s="2"/>
      <c r="AD132" s="2"/>
      <c r="AE132" s="2"/>
      <c r="AF132" s="2"/>
      <c r="AG132" s="2"/>
    </row>
    <row r="133" spans="1:33" s="34" customFormat="1" ht="47.25" x14ac:dyDescent="0.25">
      <c r="A133" s="2"/>
      <c r="B133" s="6" t="s">
        <v>250</v>
      </c>
      <c r="C133" s="3" t="s">
        <v>251</v>
      </c>
      <c r="D133" s="3">
        <f>'Yao data'!B10</f>
        <v>2004</v>
      </c>
      <c r="E133" s="357" t="s">
        <v>252</v>
      </c>
      <c r="F133" s="21" t="s">
        <v>51</v>
      </c>
      <c r="G133" s="3" t="s">
        <v>74</v>
      </c>
      <c r="H133" s="3" t="s">
        <v>47</v>
      </c>
      <c r="I133" s="3" t="s">
        <v>53</v>
      </c>
      <c r="J133" s="3" t="s">
        <v>74</v>
      </c>
      <c r="K133" s="3" t="s">
        <v>74</v>
      </c>
      <c r="L133" s="3" t="s">
        <v>74</v>
      </c>
      <c r="M133" s="3" t="s">
        <v>74</v>
      </c>
      <c r="N133" s="3" t="s">
        <v>53</v>
      </c>
      <c r="O133" s="3" t="s">
        <v>74</v>
      </c>
      <c r="P133" s="3" t="s">
        <v>55</v>
      </c>
      <c r="Q133" s="7" t="s">
        <v>56</v>
      </c>
      <c r="R133" s="3" t="s">
        <v>47</v>
      </c>
      <c r="S133" s="3" t="s">
        <v>53</v>
      </c>
      <c r="T133" s="3" t="s">
        <v>53</v>
      </c>
      <c r="U133" s="3" t="s">
        <v>47</v>
      </c>
      <c r="V133" s="4" t="s">
        <v>253</v>
      </c>
      <c r="W133" s="305">
        <f>'Yao data'!H10</f>
        <v>0.99272123214233965</v>
      </c>
      <c r="X133" s="2"/>
      <c r="Y133" s="2"/>
      <c r="Z133" s="2"/>
      <c r="AA133" s="2"/>
      <c r="AB133" s="2"/>
      <c r="AC133" s="2"/>
      <c r="AD133" s="2"/>
      <c r="AE133" s="2"/>
      <c r="AF133" s="2"/>
      <c r="AG133" s="2"/>
    </row>
    <row r="134" spans="1:33" s="34" customFormat="1" ht="47.25" x14ac:dyDescent="0.25">
      <c r="A134" s="2"/>
      <c r="B134" s="6" t="s">
        <v>250</v>
      </c>
      <c r="C134" s="3" t="s">
        <v>251</v>
      </c>
      <c r="D134" s="3">
        <f>'Yao data'!B11</f>
        <v>2003</v>
      </c>
      <c r="E134" s="357" t="s">
        <v>252</v>
      </c>
      <c r="F134" s="21" t="s">
        <v>51</v>
      </c>
      <c r="G134" s="3" t="s">
        <v>74</v>
      </c>
      <c r="H134" s="3" t="s">
        <v>47</v>
      </c>
      <c r="I134" s="3" t="s">
        <v>53</v>
      </c>
      <c r="J134" s="3" t="s">
        <v>74</v>
      </c>
      <c r="K134" s="3" t="s">
        <v>74</v>
      </c>
      <c r="L134" s="3" t="s">
        <v>74</v>
      </c>
      <c r="M134" s="3" t="s">
        <v>74</v>
      </c>
      <c r="N134" s="3" t="s">
        <v>53</v>
      </c>
      <c r="O134" s="3" t="s">
        <v>74</v>
      </c>
      <c r="P134" s="3" t="s">
        <v>55</v>
      </c>
      <c r="Q134" s="7" t="s">
        <v>56</v>
      </c>
      <c r="R134" s="3" t="s">
        <v>47</v>
      </c>
      <c r="S134" s="3" t="s">
        <v>53</v>
      </c>
      <c r="T134" s="3" t="s">
        <v>53</v>
      </c>
      <c r="U134" s="3" t="s">
        <v>47</v>
      </c>
      <c r="V134" s="4" t="s">
        <v>253</v>
      </c>
      <c r="W134" s="305">
        <f>'Yao data'!H11</f>
        <v>1.077811623468826</v>
      </c>
      <c r="X134" s="2"/>
      <c r="Y134" s="2"/>
      <c r="Z134" s="2"/>
      <c r="AA134" s="2"/>
      <c r="AB134" s="2"/>
      <c r="AC134" s="2"/>
      <c r="AD134" s="2"/>
      <c r="AE134" s="2"/>
      <c r="AF134" s="2"/>
      <c r="AG134" s="2"/>
    </row>
    <row r="135" spans="1:33" s="34" customFormat="1" ht="47.25" x14ac:dyDescent="0.25">
      <c r="A135" s="2"/>
      <c r="B135" s="6" t="s">
        <v>250</v>
      </c>
      <c r="C135" s="3" t="s">
        <v>251</v>
      </c>
      <c r="D135" s="3">
        <f>'Yao data'!B12</f>
        <v>2002</v>
      </c>
      <c r="E135" s="357" t="s">
        <v>252</v>
      </c>
      <c r="F135" s="21" t="s">
        <v>51</v>
      </c>
      <c r="G135" s="3" t="s">
        <v>74</v>
      </c>
      <c r="H135" s="3" t="s">
        <v>47</v>
      </c>
      <c r="I135" s="3" t="s">
        <v>53</v>
      </c>
      <c r="J135" s="3" t="s">
        <v>74</v>
      </c>
      <c r="K135" s="3" t="s">
        <v>74</v>
      </c>
      <c r="L135" s="3" t="s">
        <v>74</v>
      </c>
      <c r="M135" s="3" t="s">
        <v>74</v>
      </c>
      <c r="N135" s="3" t="s">
        <v>53</v>
      </c>
      <c r="O135" s="3" t="s">
        <v>74</v>
      </c>
      <c r="P135" s="3" t="s">
        <v>55</v>
      </c>
      <c r="Q135" s="7" t="s">
        <v>56</v>
      </c>
      <c r="R135" s="3" t="s">
        <v>47</v>
      </c>
      <c r="S135" s="3" t="s">
        <v>53</v>
      </c>
      <c r="T135" s="3" t="s">
        <v>53</v>
      </c>
      <c r="U135" s="3" t="s">
        <v>47</v>
      </c>
      <c r="V135" s="4" t="s">
        <v>253</v>
      </c>
      <c r="W135" s="305">
        <f>'Yao data'!H12</f>
        <v>1.1345385510198169</v>
      </c>
      <c r="X135" s="2"/>
      <c r="Y135" s="2"/>
      <c r="Z135" s="2"/>
      <c r="AA135" s="2"/>
      <c r="AB135" s="2"/>
      <c r="AC135" s="2"/>
      <c r="AD135" s="2"/>
      <c r="AE135" s="2"/>
      <c r="AF135" s="2"/>
      <c r="AG135" s="2"/>
    </row>
    <row r="136" spans="1:33" s="34" customFormat="1" ht="47.25" x14ac:dyDescent="0.25">
      <c r="A136" s="2"/>
      <c r="B136" s="6" t="s">
        <v>250</v>
      </c>
      <c r="C136" s="3" t="s">
        <v>251</v>
      </c>
      <c r="D136" s="3">
        <f>'Yao data'!B13</f>
        <v>2001</v>
      </c>
      <c r="E136" s="357" t="s">
        <v>252</v>
      </c>
      <c r="F136" s="21" t="s">
        <v>51</v>
      </c>
      <c r="G136" s="3" t="s">
        <v>74</v>
      </c>
      <c r="H136" s="3" t="s">
        <v>47</v>
      </c>
      <c r="I136" s="3" t="s">
        <v>53</v>
      </c>
      <c r="J136" s="3" t="s">
        <v>74</v>
      </c>
      <c r="K136" s="3" t="s">
        <v>74</v>
      </c>
      <c r="L136" s="3" t="s">
        <v>74</v>
      </c>
      <c r="M136" s="3" t="s">
        <v>74</v>
      </c>
      <c r="N136" s="3" t="s">
        <v>53</v>
      </c>
      <c r="O136" s="3" t="s">
        <v>74</v>
      </c>
      <c r="P136" s="3" t="s">
        <v>55</v>
      </c>
      <c r="Q136" s="7" t="s">
        <v>56</v>
      </c>
      <c r="R136" s="3" t="s">
        <v>47</v>
      </c>
      <c r="S136" s="3" t="s">
        <v>53</v>
      </c>
      <c r="T136" s="3" t="s">
        <v>53</v>
      </c>
      <c r="U136" s="3" t="s">
        <v>47</v>
      </c>
      <c r="V136" s="4" t="s">
        <v>253</v>
      </c>
      <c r="W136" s="305">
        <f>'Yao data'!H13</f>
        <v>1.1699928807391859</v>
      </c>
      <c r="X136" s="2"/>
      <c r="Y136" s="2"/>
      <c r="Z136" s="2"/>
      <c r="AA136" s="2"/>
      <c r="AB136" s="2"/>
      <c r="AC136" s="2"/>
      <c r="AD136" s="2"/>
      <c r="AE136" s="2"/>
      <c r="AF136" s="2"/>
      <c r="AG136" s="2"/>
    </row>
    <row r="137" spans="1:33" s="345" customFormat="1" x14ac:dyDescent="0.25">
      <c r="A137" s="326"/>
      <c r="C137" s="307"/>
      <c r="D137" s="307"/>
      <c r="E137" s="307"/>
      <c r="F137" s="307"/>
      <c r="G137" s="307"/>
      <c r="H137" s="307"/>
      <c r="I137" s="307"/>
      <c r="J137" s="307"/>
      <c r="K137" s="307"/>
      <c r="L137" s="307"/>
      <c r="M137" s="307"/>
      <c r="N137" s="307"/>
      <c r="O137" s="307"/>
      <c r="P137" s="307"/>
      <c r="Q137" s="307"/>
      <c r="R137" s="307"/>
      <c r="S137" s="307"/>
      <c r="T137" s="307"/>
      <c r="U137" s="307"/>
      <c r="W137" s="339"/>
    </row>
    <row r="138" spans="1:33" s="34" customFormat="1" ht="141.75" x14ac:dyDescent="0.25">
      <c r="A138" s="2"/>
      <c r="B138" s="2" t="s">
        <v>254</v>
      </c>
      <c r="C138" s="21" t="s">
        <v>255</v>
      </c>
      <c r="D138" s="3">
        <v>2020</v>
      </c>
      <c r="E138" s="356" t="s">
        <v>4</v>
      </c>
      <c r="F138" s="21" t="s">
        <v>51</v>
      </c>
      <c r="G138" s="3" t="s">
        <v>256</v>
      </c>
      <c r="H138" s="3" t="s">
        <v>47</v>
      </c>
      <c r="I138" s="3" t="s">
        <v>113</v>
      </c>
      <c r="J138" s="3" t="s">
        <v>257</v>
      </c>
      <c r="K138" s="3" t="s">
        <v>258</v>
      </c>
      <c r="L138" s="7" t="s">
        <v>107</v>
      </c>
      <c r="M138" s="3" t="s">
        <v>47</v>
      </c>
      <c r="N138" s="3" t="s">
        <v>81</v>
      </c>
      <c r="O138" s="3" t="s">
        <v>259</v>
      </c>
      <c r="P138" s="3" t="s">
        <v>88</v>
      </c>
      <c r="Q138" s="3" t="s">
        <v>56</v>
      </c>
      <c r="R138" s="3" t="s">
        <v>47</v>
      </c>
      <c r="S138" s="3" t="s">
        <v>53</v>
      </c>
      <c r="T138" s="3" t="s">
        <v>53</v>
      </c>
      <c r="U138" s="3" t="s">
        <v>53</v>
      </c>
      <c r="V138" s="4" t="s">
        <v>260</v>
      </c>
      <c r="W138" s="302">
        <f>'Industries data'!F4</f>
        <v>0.63275380479066134</v>
      </c>
    </row>
    <row r="139" spans="1:33" s="34" customFormat="1" ht="141.75" x14ac:dyDescent="0.25">
      <c r="A139" s="2"/>
      <c r="B139" s="2" t="s">
        <v>261</v>
      </c>
      <c r="C139" s="21" t="s">
        <v>255</v>
      </c>
      <c r="D139" s="3">
        <v>2019</v>
      </c>
      <c r="E139" s="356" t="s">
        <v>4</v>
      </c>
      <c r="F139" s="21" t="s">
        <v>51</v>
      </c>
      <c r="G139" s="3" t="s">
        <v>256</v>
      </c>
      <c r="H139" s="3" t="s">
        <v>47</v>
      </c>
      <c r="I139" s="3" t="s">
        <v>113</v>
      </c>
      <c r="J139" s="3" t="s">
        <v>257</v>
      </c>
      <c r="K139" s="3" t="s">
        <v>258</v>
      </c>
      <c r="L139" s="7" t="s">
        <v>107</v>
      </c>
      <c r="M139" s="3" t="s">
        <v>47</v>
      </c>
      <c r="N139" s="3" t="s">
        <v>81</v>
      </c>
      <c r="O139" s="3" t="s">
        <v>259</v>
      </c>
      <c r="P139" s="3" t="s">
        <v>88</v>
      </c>
      <c r="Q139" s="3" t="s">
        <v>56</v>
      </c>
      <c r="R139" s="3" t="s">
        <v>47</v>
      </c>
      <c r="S139" s="3" t="s">
        <v>53</v>
      </c>
      <c r="T139" s="3" t="s">
        <v>53</v>
      </c>
      <c r="U139" s="3" t="s">
        <v>53</v>
      </c>
      <c r="V139" s="4" t="s">
        <v>260</v>
      </c>
      <c r="W139" s="302">
        <f>'Industries data'!F5</f>
        <v>0.78100458271298412</v>
      </c>
    </row>
    <row r="140" spans="1:33" s="34" customFormat="1" ht="141.75" x14ac:dyDescent="0.25">
      <c r="A140" s="2"/>
      <c r="B140" s="2" t="s">
        <v>262</v>
      </c>
      <c r="C140" s="21" t="s">
        <v>255</v>
      </c>
      <c r="D140" s="3">
        <v>2018</v>
      </c>
      <c r="E140" s="356" t="s">
        <v>4</v>
      </c>
      <c r="F140" s="21" t="s">
        <v>51</v>
      </c>
      <c r="G140" s="3" t="s">
        <v>256</v>
      </c>
      <c r="H140" s="3" t="s">
        <v>47</v>
      </c>
      <c r="I140" s="3" t="s">
        <v>113</v>
      </c>
      <c r="J140" s="3" t="s">
        <v>257</v>
      </c>
      <c r="K140" s="3" t="s">
        <v>258</v>
      </c>
      <c r="L140" s="7" t="s">
        <v>107</v>
      </c>
      <c r="M140" s="3" t="s">
        <v>47</v>
      </c>
      <c r="N140" s="3" t="s">
        <v>81</v>
      </c>
      <c r="O140" s="3" t="s">
        <v>259</v>
      </c>
      <c r="P140" s="3" t="s">
        <v>88</v>
      </c>
      <c r="Q140" s="3" t="s">
        <v>56</v>
      </c>
      <c r="R140" s="3" t="s">
        <v>47</v>
      </c>
      <c r="S140" s="3" t="s">
        <v>53</v>
      </c>
      <c r="T140" s="3" t="s">
        <v>53</v>
      </c>
      <c r="U140" s="3" t="s">
        <v>53</v>
      </c>
      <c r="V140" s="4" t="s">
        <v>260</v>
      </c>
      <c r="W140" s="302">
        <f>'Industries data'!F6</f>
        <v>0.84640372120574003</v>
      </c>
    </row>
    <row r="141" spans="1:33" s="34" customFormat="1" ht="141.75" x14ac:dyDescent="0.25">
      <c r="A141" s="2"/>
      <c r="B141" s="2" t="s">
        <v>263</v>
      </c>
      <c r="C141" s="21" t="s">
        <v>255</v>
      </c>
      <c r="D141" s="3">
        <v>2017</v>
      </c>
      <c r="E141" s="356" t="s">
        <v>4</v>
      </c>
      <c r="F141" s="21" t="s">
        <v>51</v>
      </c>
      <c r="G141" s="3" t="s">
        <v>256</v>
      </c>
      <c r="H141" s="3" t="s">
        <v>47</v>
      </c>
      <c r="I141" s="3" t="s">
        <v>113</v>
      </c>
      <c r="J141" s="3" t="s">
        <v>257</v>
      </c>
      <c r="K141" s="3" t="s">
        <v>258</v>
      </c>
      <c r="L141" s="7" t="s">
        <v>107</v>
      </c>
      <c r="M141" s="3" t="s">
        <v>47</v>
      </c>
      <c r="N141" s="3" t="s">
        <v>81</v>
      </c>
      <c r="O141" s="3" t="s">
        <v>259</v>
      </c>
      <c r="P141" s="3" t="s">
        <v>88</v>
      </c>
      <c r="Q141" s="3" t="s">
        <v>56</v>
      </c>
      <c r="R141" s="3" t="s">
        <v>47</v>
      </c>
      <c r="S141" s="3" t="s">
        <v>53</v>
      </c>
      <c r="T141" s="3" t="s">
        <v>53</v>
      </c>
      <c r="U141" s="3" t="s">
        <v>53</v>
      </c>
      <c r="V141" s="4" t="s">
        <v>260</v>
      </c>
      <c r="W141" s="302">
        <f>'Industries data'!F7</f>
        <v>0.87668163772198215</v>
      </c>
    </row>
    <row r="142" spans="1:33" s="34" customFormat="1" ht="141.75" x14ac:dyDescent="0.25">
      <c r="A142" s="2"/>
      <c r="B142" s="2" t="s">
        <v>264</v>
      </c>
      <c r="C142" s="21" t="s">
        <v>255</v>
      </c>
      <c r="D142" s="3">
        <v>2016</v>
      </c>
      <c r="E142" s="356" t="s">
        <v>4</v>
      </c>
      <c r="F142" s="21" t="s">
        <v>51</v>
      </c>
      <c r="G142" s="3" t="s">
        <v>256</v>
      </c>
      <c r="H142" s="3" t="s">
        <v>47</v>
      </c>
      <c r="I142" s="3" t="s">
        <v>113</v>
      </c>
      <c r="J142" s="3" t="s">
        <v>257</v>
      </c>
      <c r="K142" s="3" t="s">
        <v>258</v>
      </c>
      <c r="L142" s="7" t="s">
        <v>107</v>
      </c>
      <c r="M142" s="3" t="s">
        <v>47</v>
      </c>
      <c r="N142" s="3" t="s">
        <v>81</v>
      </c>
      <c r="O142" s="3" t="s">
        <v>259</v>
      </c>
      <c r="P142" s="3" t="s">
        <v>88</v>
      </c>
      <c r="Q142" s="3" t="s">
        <v>56</v>
      </c>
      <c r="R142" s="3" t="s">
        <v>47</v>
      </c>
      <c r="S142" s="3" t="s">
        <v>53</v>
      </c>
      <c r="T142" s="3" t="s">
        <v>53</v>
      </c>
      <c r="U142" s="3" t="s">
        <v>53</v>
      </c>
      <c r="V142" s="4" t="s">
        <v>260</v>
      </c>
      <c r="W142" s="302">
        <f>'Industries data'!F8</f>
        <v>0.89791502001172496</v>
      </c>
    </row>
    <row r="143" spans="1:33" s="34" customFormat="1" ht="141.75" x14ac:dyDescent="0.25">
      <c r="A143" s="2"/>
      <c r="B143" s="2" t="s">
        <v>265</v>
      </c>
      <c r="C143" s="21" t="s">
        <v>255</v>
      </c>
      <c r="D143" s="3">
        <v>2015</v>
      </c>
      <c r="E143" s="356" t="s">
        <v>4</v>
      </c>
      <c r="F143" s="21" t="s">
        <v>51</v>
      </c>
      <c r="G143" s="3" t="s">
        <v>256</v>
      </c>
      <c r="H143" s="3" t="s">
        <v>47</v>
      </c>
      <c r="I143" s="3" t="s">
        <v>113</v>
      </c>
      <c r="J143" s="3" t="s">
        <v>257</v>
      </c>
      <c r="K143" s="3" t="s">
        <v>258</v>
      </c>
      <c r="L143" s="7" t="s">
        <v>107</v>
      </c>
      <c r="M143" s="3" t="s">
        <v>47</v>
      </c>
      <c r="N143" s="3" t="s">
        <v>81</v>
      </c>
      <c r="O143" s="3" t="s">
        <v>259</v>
      </c>
      <c r="P143" s="3" t="s">
        <v>88</v>
      </c>
      <c r="Q143" s="3" t="s">
        <v>56</v>
      </c>
      <c r="R143" s="3" t="s">
        <v>47</v>
      </c>
      <c r="S143" s="3" t="s">
        <v>53</v>
      </c>
      <c r="T143" s="3" t="s">
        <v>53</v>
      </c>
      <c r="U143" s="3" t="s">
        <v>53</v>
      </c>
      <c r="V143" s="4" t="s">
        <v>260</v>
      </c>
      <c r="W143" s="302">
        <f>'Industries data'!F9</f>
        <v>0.92859670202269196</v>
      </c>
    </row>
    <row r="144" spans="1:33" s="34" customFormat="1" ht="141.75" x14ac:dyDescent="0.25">
      <c r="A144" s="2"/>
      <c r="B144" s="2" t="s">
        <v>266</v>
      </c>
      <c r="C144" s="21" t="s">
        <v>255</v>
      </c>
      <c r="D144" s="3">
        <v>2014</v>
      </c>
      <c r="E144" s="356" t="s">
        <v>4</v>
      </c>
      <c r="F144" s="21" t="s">
        <v>51</v>
      </c>
      <c r="G144" s="3" t="s">
        <v>256</v>
      </c>
      <c r="H144" s="3" t="s">
        <v>47</v>
      </c>
      <c r="I144" s="3" t="s">
        <v>113</v>
      </c>
      <c r="J144" s="3" t="s">
        <v>257</v>
      </c>
      <c r="K144" s="3" t="s">
        <v>258</v>
      </c>
      <c r="L144" s="7" t="s">
        <v>107</v>
      </c>
      <c r="M144" s="3" t="s">
        <v>47</v>
      </c>
      <c r="N144" s="3" t="s">
        <v>81</v>
      </c>
      <c r="O144" s="3" t="s">
        <v>259</v>
      </c>
      <c r="P144" s="3" t="s">
        <v>88</v>
      </c>
      <c r="Q144" s="3" t="s">
        <v>56</v>
      </c>
      <c r="R144" s="3" t="s">
        <v>47</v>
      </c>
      <c r="S144" s="3" t="s">
        <v>53</v>
      </c>
      <c r="T144" s="3" t="s">
        <v>53</v>
      </c>
      <c r="U144" s="3" t="s">
        <v>53</v>
      </c>
      <c r="V144" s="4" t="s">
        <v>260</v>
      </c>
      <c r="W144" s="302">
        <f>'Industries data'!F10</f>
        <v>1.0141096251506518</v>
      </c>
    </row>
    <row r="145" spans="1:33" s="34" customFormat="1" ht="141.75" x14ac:dyDescent="0.25">
      <c r="A145" s="2"/>
      <c r="B145" s="2" t="s">
        <v>267</v>
      </c>
      <c r="C145" s="21" t="s">
        <v>255</v>
      </c>
      <c r="D145" s="3">
        <v>2013</v>
      </c>
      <c r="E145" s="356" t="s">
        <v>4</v>
      </c>
      <c r="F145" s="21" t="s">
        <v>51</v>
      </c>
      <c r="G145" s="3" t="s">
        <v>256</v>
      </c>
      <c r="H145" s="3" t="s">
        <v>47</v>
      </c>
      <c r="I145" s="3" t="s">
        <v>113</v>
      </c>
      <c r="J145" s="3" t="s">
        <v>257</v>
      </c>
      <c r="K145" s="3" t="s">
        <v>258</v>
      </c>
      <c r="L145" s="7" t="s">
        <v>107</v>
      </c>
      <c r="M145" s="3" t="s">
        <v>47</v>
      </c>
      <c r="N145" s="3" t="s">
        <v>81</v>
      </c>
      <c r="O145" s="3" t="s">
        <v>259</v>
      </c>
      <c r="P145" s="3" t="s">
        <v>88</v>
      </c>
      <c r="Q145" s="3" t="s">
        <v>56</v>
      </c>
      <c r="R145" s="3" t="s">
        <v>47</v>
      </c>
      <c r="S145" s="3" t="s">
        <v>53</v>
      </c>
      <c r="T145" s="3" t="s">
        <v>53</v>
      </c>
      <c r="U145" s="3" t="s">
        <v>53</v>
      </c>
      <c r="V145" s="4" t="s">
        <v>260</v>
      </c>
      <c r="W145" s="302">
        <f>'Industries data'!F11</f>
        <v>1.3555579479750761</v>
      </c>
    </row>
    <row r="146" spans="1:33" s="34" customFormat="1" ht="141.75" x14ac:dyDescent="0.25">
      <c r="A146" s="2"/>
      <c r="B146" s="2" t="s">
        <v>268</v>
      </c>
      <c r="C146" s="21" t="s">
        <v>255</v>
      </c>
      <c r="D146" s="3">
        <v>2012</v>
      </c>
      <c r="E146" s="356" t="s">
        <v>4</v>
      </c>
      <c r="F146" s="21" t="s">
        <v>51</v>
      </c>
      <c r="G146" s="3" t="s">
        <v>256</v>
      </c>
      <c r="H146" s="3" t="s">
        <v>47</v>
      </c>
      <c r="I146" s="3" t="s">
        <v>113</v>
      </c>
      <c r="J146" s="3" t="s">
        <v>257</v>
      </c>
      <c r="K146" s="3" t="s">
        <v>258</v>
      </c>
      <c r="L146" s="7" t="s">
        <v>107</v>
      </c>
      <c r="M146" s="3" t="s">
        <v>47</v>
      </c>
      <c r="N146" s="3" t="s">
        <v>81</v>
      </c>
      <c r="O146" s="3" t="s">
        <v>259</v>
      </c>
      <c r="P146" s="3" t="s">
        <v>88</v>
      </c>
      <c r="Q146" s="3" t="s">
        <v>56</v>
      </c>
      <c r="R146" s="3" t="s">
        <v>47</v>
      </c>
      <c r="S146" s="3" t="s">
        <v>53</v>
      </c>
      <c r="T146" s="3" t="s">
        <v>53</v>
      </c>
      <c r="U146" s="3" t="s">
        <v>53</v>
      </c>
      <c r="V146" s="4" t="s">
        <v>260</v>
      </c>
      <c r="W146" s="302">
        <f>'Industries data'!F12</f>
        <v>1.1506684826242979</v>
      </c>
    </row>
    <row r="147" spans="1:33" s="34" customFormat="1" ht="141.75" x14ac:dyDescent="0.25">
      <c r="A147" s="2"/>
      <c r="B147" s="2" t="s">
        <v>269</v>
      </c>
      <c r="C147" s="21" t="s">
        <v>255</v>
      </c>
      <c r="D147" s="3">
        <v>2011</v>
      </c>
      <c r="E147" s="356" t="s">
        <v>4</v>
      </c>
      <c r="F147" s="21" t="s">
        <v>51</v>
      </c>
      <c r="G147" s="3" t="s">
        <v>256</v>
      </c>
      <c r="H147" s="3" t="s">
        <v>47</v>
      </c>
      <c r="I147" s="3" t="s">
        <v>113</v>
      </c>
      <c r="J147" s="3" t="s">
        <v>257</v>
      </c>
      <c r="K147" s="3" t="s">
        <v>258</v>
      </c>
      <c r="L147" s="7" t="s">
        <v>107</v>
      </c>
      <c r="M147" s="3" t="s">
        <v>47</v>
      </c>
      <c r="N147" s="3" t="s">
        <v>81</v>
      </c>
      <c r="O147" s="3" t="s">
        <v>259</v>
      </c>
      <c r="P147" s="3" t="s">
        <v>88</v>
      </c>
      <c r="Q147" s="3" t="s">
        <v>56</v>
      </c>
      <c r="R147" s="3" t="s">
        <v>47</v>
      </c>
      <c r="S147" s="3" t="s">
        <v>53</v>
      </c>
      <c r="T147" s="3" t="s">
        <v>53</v>
      </c>
      <c r="U147" s="3" t="s">
        <v>53</v>
      </c>
      <c r="V147" s="4" t="s">
        <v>260</v>
      </c>
      <c r="W147" s="302">
        <f>'Industries data'!F13</f>
        <v>1.2723626727708308</v>
      </c>
    </row>
    <row r="148" spans="1:33" s="344" customFormat="1" x14ac:dyDescent="0.25">
      <c r="A148" s="327"/>
      <c r="B148" s="327"/>
      <c r="C148" s="329" t="s">
        <v>168</v>
      </c>
      <c r="D148" s="328"/>
      <c r="E148" s="354"/>
      <c r="F148" s="329" t="s">
        <v>168</v>
      </c>
      <c r="G148" s="328"/>
      <c r="H148" s="328"/>
      <c r="I148" s="328"/>
      <c r="J148" s="328"/>
      <c r="K148" s="328"/>
      <c r="L148" s="342"/>
      <c r="M148" s="328"/>
      <c r="N148" s="328"/>
      <c r="O148" s="328"/>
      <c r="P148" s="328"/>
      <c r="Q148" s="328"/>
      <c r="R148" s="328"/>
      <c r="S148" s="328"/>
      <c r="T148" s="328"/>
      <c r="U148" s="328"/>
      <c r="V148" s="330"/>
      <c r="W148" s="338"/>
      <c r="X148" s="331"/>
      <c r="Y148" s="331"/>
      <c r="Z148" s="327"/>
      <c r="AA148" s="327"/>
      <c r="AB148" s="327"/>
      <c r="AC148" s="327"/>
      <c r="AD148" s="327"/>
      <c r="AE148" s="327"/>
      <c r="AF148" s="327"/>
      <c r="AG148" s="327"/>
    </row>
    <row r="149" spans="1:33" s="34" customFormat="1" ht="157.5" x14ac:dyDescent="0.25">
      <c r="A149" s="2"/>
      <c r="B149" s="2" t="s">
        <v>270</v>
      </c>
      <c r="C149" s="21" t="s">
        <v>271</v>
      </c>
      <c r="D149" s="3">
        <v>2020</v>
      </c>
      <c r="E149" s="81" t="s">
        <v>4</v>
      </c>
      <c r="F149" s="21" t="s">
        <v>51</v>
      </c>
      <c r="G149" s="3" t="s">
        <v>256</v>
      </c>
      <c r="H149" s="3" t="s">
        <v>47</v>
      </c>
      <c r="I149" s="3" t="s">
        <v>113</v>
      </c>
      <c r="J149" s="3" t="s">
        <v>257</v>
      </c>
      <c r="K149" s="3" t="s">
        <v>258</v>
      </c>
      <c r="L149" s="7" t="s">
        <v>107</v>
      </c>
      <c r="M149" s="3" t="s">
        <v>47</v>
      </c>
      <c r="N149" s="3" t="s">
        <v>81</v>
      </c>
      <c r="O149" s="3" t="s">
        <v>259</v>
      </c>
      <c r="P149" s="3" t="s">
        <v>88</v>
      </c>
      <c r="Q149" s="3" t="s">
        <v>56</v>
      </c>
      <c r="R149" s="3" t="s">
        <v>47</v>
      </c>
      <c r="S149" s="3" t="s">
        <v>53</v>
      </c>
      <c r="T149" s="3" t="s">
        <v>53</v>
      </c>
      <c r="U149" s="3" t="s">
        <v>53</v>
      </c>
      <c r="V149" s="4" t="s">
        <v>272</v>
      </c>
      <c r="W149" s="302">
        <f>'Industries data'!F15</f>
        <v>1.1222679186998068</v>
      </c>
    </row>
    <row r="150" spans="1:33" s="34" customFormat="1" ht="157.5" x14ac:dyDescent="0.25">
      <c r="A150" s="2"/>
      <c r="B150" s="2" t="s">
        <v>273</v>
      </c>
      <c r="C150" s="21" t="s">
        <v>271</v>
      </c>
      <c r="D150" s="3">
        <v>2019</v>
      </c>
      <c r="E150" s="81" t="s">
        <v>4</v>
      </c>
      <c r="F150" s="21" t="s">
        <v>51</v>
      </c>
      <c r="G150" s="3" t="s">
        <v>256</v>
      </c>
      <c r="H150" s="3" t="s">
        <v>47</v>
      </c>
      <c r="I150" s="3" t="s">
        <v>113</v>
      </c>
      <c r="J150" s="3" t="s">
        <v>257</v>
      </c>
      <c r="K150" s="3" t="s">
        <v>258</v>
      </c>
      <c r="L150" s="7" t="s">
        <v>107</v>
      </c>
      <c r="M150" s="3" t="s">
        <v>47</v>
      </c>
      <c r="N150" s="3" t="s">
        <v>81</v>
      </c>
      <c r="O150" s="3" t="s">
        <v>259</v>
      </c>
      <c r="P150" s="3" t="s">
        <v>88</v>
      </c>
      <c r="Q150" s="3" t="s">
        <v>56</v>
      </c>
      <c r="R150" s="3" t="s">
        <v>47</v>
      </c>
      <c r="S150" s="3" t="s">
        <v>53</v>
      </c>
      <c r="T150" s="3" t="s">
        <v>53</v>
      </c>
      <c r="U150" s="3" t="s">
        <v>53</v>
      </c>
      <c r="V150" s="4" t="s">
        <v>272</v>
      </c>
      <c r="W150" s="302">
        <f>'Industries data'!F16</f>
        <v>1.0340606104584193</v>
      </c>
    </row>
    <row r="151" spans="1:33" s="34" customFormat="1" ht="157.5" x14ac:dyDescent="0.25">
      <c r="A151" s="2"/>
      <c r="B151" s="2" t="s">
        <v>274</v>
      </c>
      <c r="C151" s="21" t="s">
        <v>271</v>
      </c>
      <c r="D151" s="3">
        <v>2018</v>
      </c>
      <c r="E151" s="81" t="s">
        <v>4</v>
      </c>
      <c r="F151" s="21" t="s">
        <v>51</v>
      </c>
      <c r="G151" s="3" t="s">
        <v>256</v>
      </c>
      <c r="H151" s="3" t="s">
        <v>47</v>
      </c>
      <c r="I151" s="3" t="s">
        <v>113</v>
      </c>
      <c r="J151" s="3" t="s">
        <v>257</v>
      </c>
      <c r="K151" s="3" t="s">
        <v>258</v>
      </c>
      <c r="L151" s="7" t="s">
        <v>107</v>
      </c>
      <c r="M151" s="3" t="s">
        <v>47</v>
      </c>
      <c r="N151" s="3" t="s">
        <v>81</v>
      </c>
      <c r="O151" s="3" t="s">
        <v>259</v>
      </c>
      <c r="P151" s="3" t="s">
        <v>88</v>
      </c>
      <c r="Q151" s="3" t="s">
        <v>56</v>
      </c>
      <c r="R151" s="3" t="s">
        <v>47</v>
      </c>
      <c r="S151" s="3" t="s">
        <v>53</v>
      </c>
      <c r="T151" s="3" t="s">
        <v>53</v>
      </c>
      <c r="U151" s="3" t="s">
        <v>53</v>
      </c>
      <c r="V151" s="4" t="s">
        <v>275</v>
      </c>
      <c r="W151" s="302">
        <f>'Industries data'!F17</f>
        <v>1.0192629398133077</v>
      </c>
    </row>
    <row r="152" spans="1:33" s="34" customFormat="1" ht="157.5" x14ac:dyDescent="0.25">
      <c r="A152" s="2"/>
      <c r="B152" s="2" t="s">
        <v>276</v>
      </c>
      <c r="C152" s="21" t="s">
        <v>271</v>
      </c>
      <c r="D152" s="7">
        <v>2017</v>
      </c>
      <c r="E152" s="81" t="s">
        <v>4</v>
      </c>
      <c r="F152" s="21" t="s">
        <v>51</v>
      </c>
      <c r="G152" s="3" t="s">
        <v>256</v>
      </c>
      <c r="H152" s="3" t="s">
        <v>47</v>
      </c>
      <c r="I152" s="3" t="s">
        <v>113</v>
      </c>
      <c r="J152" s="3" t="s">
        <v>257</v>
      </c>
      <c r="K152" s="3" t="s">
        <v>258</v>
      </c>
      <c r="L152" s="7" t="s">
        <v>107</v>
      </c>
      <c r="M152" s="3" t="s">
        <v>47</v>
      </c>
      <c r="N152" s="3" t="s">
        <v>81</v>
      </c>
      <c r="O152" s="3" t="s">
        <v>259</v>
      </c>
      <c r="P152" s="3" t="s">
        <v>88</v>
      </c>
      <c r="Q152" s="3" t="s">
        <v>56</v>
      </c>
      <c r="R152" s="3" t="s">
        <v>47</v>
      </c>
      <c r="S152" s="3" t="s">
        <v>53</v>
      </c>
      <c r="T152" s="3" t="s">
        <v>53</v>
      </c>
      <c r="U152" s="3" t="s">
        <v>53</v>
      </c>
      <c r="V152" s="4" t="s">
        <v>277</v>
      </c>
      <c r="W152" s="302">
        <f>'Industries data'!F18</f>
        <v>1.0162437110866502</v>
      </c>
    </row>
    <row r="153" spans="1:33" s="34" customFormat="1" ht="157.5" x14ac:dyDescent="0.25">
      <c r="A153" s="2"/>
      <c r="B153" s="2" t="s">
        <v>278</v>
      </c>
      <c r="C153" s="21" t="s">
        <v>271</v>
      </c>
      <c r="D153" s="3">
        <v>2016</v>
      </c>
      <c r="E153" s="81" t="s">
        <v>4</v>
      </c>
      <c r="F153" s="21" t="s">
        <v>51</v>
      </c>
      <c r="G153" s="3" t="s">
        <v>256</v>
      </c>
      <c r="H153" s="3" t="s">
        <v>47</v>
      </c>
      <c r="I153" s="3" t="s">
        <v>113</v>
      </c>
      <c r="J153" s="3" t="s">
        <v>257</v>
      </c>
      <c r="K153" s="3" t="s">
        <v>258</v>
      </c>
      <c r="L153" s="7" t="s">
        <v>107</v>
      </c>
      <c r="M153" s="3" t="s">
        <v>47</v>
      </c>
      <c r="N153" s="3" t="s">
        <v>81</v>
      </c>
      <c r="O153" s="3" t="s">
        <v>259</v>
      </c>
      <c r="P153" s="3" t="s">
        <v>88</v>
      </c>
      <c r="Q153" s="3" t="s">
        <v>56</v>
      </c>
      <c r="R153" s="3" t="s">
        <v>47</v>
      </c>
      <c r="S153" s="3" t="s">
        <v>53</v>
      </c>
      <c r="T153" s="3" t="s">
        <v>53</v>
      </c>
      <c r="U153" s="3" t="s">
        <v>53</v>
      </c>
      <c r="V153" s="4" t="s">
        <v>279</v>
      </c>
      <c r="W153" s="302">
        <f>'Industries data'!F19</f>
        <v>1.0171082135394434</v>
      </c>
    </row>
    <row r="154" spans="1:33" s="34" customFormat="1" ht="157.5" x14ac:dyDescent="0.25">
      <c r="A154" s="2"/>
      <c r="B154" s="2" t="s">
        <v>280</v>
      </c>
      <c r="C154" s="21" t="s">
        <v>271</v>
      </c>
      <c r="D154" s="3">
        <v>2015</v>
      </c>
      <c r="E154" s="81" t="s">
        <v>4</v>
      </c>
      <c r="F154" s="21" t="s">
        <v>51</v>
      </c>
      <c r="G154" s="3" t="s">
        <v>256</v>
      </c>
      <c r="H154" s="3" t="s">
        <v>47</v>
      </c>
      <c r="I154" s="3" t="s">
        <v>113</v>
      </c>
      <c r="J154" s="3" t="s">
        <v>257</v>
      </c>
      <c r="K154" s="3" t="s">
        <v>258</v>
      </c>
      <c r="L154" s="7" t="s">
        <v>107</v>
      </c>
      <c r="M154" s="3" t="s">
        <v>47</v>
      </c>
      <c r="N154" s="3" t="s">
        <v>81</v>
      </c>
      <c r="O154" s="3" t="s">
        <v>259</v>
      </c>
      <c r="P154" s="3" t="s">
        <v>88</v>
      </c>
      <c r="Q154" s="3" t="s">
        <v>56</v>
      </c>
      <c r="R154" s="3" t="s">
        <v>47</v>
      </c>
      <c r="S154" s="3" t="s">
        <v>53</v>
      </c>
      <c r="T154" s="3" t="s">
        <v>53</v>
      </c>
      <c r="U154" s="3" t="s">
        <v>53</v>
      </c>
      <c r="V154" s="4" t="s">
        <v>279</v>
      </c>
      <c r="W154" s="302">
        <f>'Industries data'!F20</f>
        <v>0.99534893422965343</v>
      </c>
    </row>
    <row r="155" spans="1:33" s="34" customFormat="1" ht="141.75" x14ac:dyDescent="0.25">
      <c r="A155" s="2"/>
      <c r="B155" s="2" t="s">
        <v>281</v>
      </c>
      <c r="C155" s="21" t="s">
        <v>271</v>
      </c>
      <c r="D155" s="3">
        <v>2014</v>
      </c>
      <c r="E155" s="81" t="s">
        <v>4</v>
      </c>
      <c r="F155" s="21" t="s">
        <v>51</v>
      </c>
      <c r="G155" s="3" t="s">
        <v>256</v>
      </c>
      <c r="H155" s="3" t="s">
        <v>47</v>
      </c>
      <c r="I155" s="3" t="s">
        <v>113</v>
      </c>
      <c r="J155" s="3" t="s">
        <v>257</v>
      </c>
      <c r="K155" s="3" t="s">
        <v>258</v>
      </c>
      <c r="L155" s="7" t="s">
        <v>107</v>
      </c>
      <c r="M155" s="3" t="s">
        <v>47</v>
      </c>
      <c r="N155" s="3" t="s">
        <v>81</v>
      </c>
      <c r="O155" s="3" t="s">
        <v>259</v>
      </c>
      <c r="P155" s="3" t="s">
        <v>88</v>
      </c>
      <c r="Q155" s="3" t="s">
        <v>56</v>
      </c>
      <c r="R155" s="3" t="s">
        <v>47</v>
      </c>
      <c r="S155" s="3" t="s">
        <v>53</v>
      </c>
      <c r="T155" s="3" t="s">
        <v>53</v>
      </c>
      <c r="U155" s="3" t="s">
        <v>53</v>
      </c>
      <c r="V155" s="4" t="s">
        <v>282</v>
      </c>
      <c r="W155" s="302">
        <f>'Industries data'!F21</f>
        <v>1.0649904979032367</v>
      </c>
    </row>
    <row r="156" spans="1:33" s="34" customFormat="1" ht="141.75" x14ac:dyDescent="0.25">
      <c r="A156" s="2"/>
      <c r="B156" s="2" t="s">
        <v>283</v>
      </c>
      <c r="C156" s="21" t="s">
        <v>271</v>
      </c>
      <c r="D156" s="3">
        <v>2013</v>
      </c>
      <c r="E156" s="81" t="s">
        <v>4</v>
      </c>
      <c r="F156" s="21" t="s">
        <v>51</v>
      </c>
      <c r="G156" s="3" t="s">
        <v>256</v>
      </c>
      <c r="H156" s="3" t="s">
        <v>47</v>
      </c>
      <c r="I156" s="3" t="s">
        <v>113</v>
      </c>
      <c r="J156" s="3" t="s">
        <v>257</v>
      </c>
      <c r="K156" s="3" t="s">
        <v>258</v>
      </c>
      <c r="L156" s="7" t="s">
        <v>107</v>
      </c>
      <c r="M156" s="3" t="s">
        <v>47</v>
      </c>
      <c r="N156" s="3" t="s">
        <v>81</v>
      </c>
      <c r="O156" s="3" t="s">
        <v>259</v>
      </c>
      <c r="P156" s="3" t="s">
        <v>88</v>
      </c>
      <c r="Q156" s="3" t="s">
        <v>56</v>
      </c>
      <c r="R156" s="3" t="s">
        <v>47</v>
      </c>
      <c r="S156" s="3" t="s">
        <v>53</v>
      </c>
      <c r="T156" s="3" t="s">
        <v>53</v>
      </c>
      <c r="U156" s="3" t="s">
        <v>53</v>
      </c>
      <c r="V156" s="4" t="s">
        <v>282</v>
      </c>
      <c r="W156" s="302">
        <f>'Industries data'!F22</f>
        <v>0.91625954066912629</v>
      </c>
    </row>
    <row r="157" spans="1:33" s="34" customFormat="1" ht="141.75" x14ac:dyDescent="0.25">
      <c r="A157" s="2"/>
      <c r="B157" s="2" t="s">
        <v>284</v>
      </c>
      <c r="C157" s="21" t="s">
        <v>271</v>
      </c>
      <c r="D157" s="3">
        <v>2012</v>
      </c>
      <c r="E157" s="81" t="s">
        <v>4</v>
      </c>
      <c r="F157" s="21" t="s">
        <v>51</v>
      </c>
      <c r="G157" s="3" t="s">
        <v>256</v>
      </c>
      <c r="H157" s="3" t="s">
        <v>47</v>
      </c>
      <c r="I157" s="3" t="s">
        <v>113</v>
      </c>
      <c r="J157" s="3" t="s">
        <v>257</v>
      </c>
      <c r="K157" s="3" t="s">
        <v>258</v>
      </c>
      <c r="L157" s="7" t="s">
        <v>107</v>
      </c>
      <c r="M157" s="3" t="s">
        <v>47</v>
      </c>
      <c r="N157" s="3" t="s">
        <v>81</v>
      </c>
      <c r="O157" s="3" t="s">
        <v>259</v>
      </c>
      <c r="P157" s="3" t="s">
        <v>88</v>
      </c>
      <c r="Q157" s="3" t="s">
        <v>56</v>
      </c>
      <c r="R157" s="3" t="s">
        <v>47</v>
      </c>
      <c r="S157" s="3" t="s">
        <v>53</v>
      </c>
      <c r="T157" s="3" t="s">
        <v>53</v>
      </c>
      <c r="U157" s="3" t="s">
        <v>53</v>
      </c>
      <c r="V157" s="4" t="s">
        <v>285</v>
      </c>
      <c r="W157" s="302">
        <f>'Industries data'!F23</f>
        <v>0.86233696539438887</v>
      </c>
    </row>
    <row r="158" spans="1:33" s="34" customFormat="1" ht="141.75" x14ac:dyDescent="0.25">
      <c r="A158" s="2"/>
      <c r="B158" s="2" t="s">
        <v>286</v>
      </c>
      <c r="C158" s="21" t="s">
        <v>271</v>
      </c>
      <c r="D158" s="3">
        <v>2011</v>
      </c>
      <c r="E158" s="81" t="s">
        <v>4</v>
      </c>
      <c r="F158" s="21" t="s">
        <v>51</v>
      </c>
      <c r="G158" s="3" t="s">
        <v>256</v>
      </c>
      <c r="H158" s="3" t="s">
        <v>47</v>
      </c>
      <c r="I158" s="3" t="s">
        <v>113</v>
      </c>
      <c r="J158" s="3" t="s">
        <v>257</v>
      </c>
      <c r="K158" s="3" t="s">
        <v>258</v>
      </c>
      <c r="L158" s="7" t="s">
        <v>107</v>
      </c>
      <c r="M158" s="3" t="s">
        <v>47</v>
      </c>
      <c r="N158" s="3" t="s">
        <v>81</v>
      </c>
      <c r="O158" s="3" t="s">
        <v>259</v>
      </c>
      <c r="P158" s="3" t="s">
        <v>88</v>
      </c>
      <c r="Q158" s="3" t="s">
        <v>56</v>
      </c>
      <c r="R158" s="3" t="s">
        <v>47</v>
      </c>
      <c r="S158" s="3" t="s">
        <v>53</v>
      </c>
      <c r="T158" s="3" t="s">
        <v>53</v>
      </c>
      <c r="U158" s="3" t="s">
        <v>53</v>
      </c>
      <c r="V158" s="4" t="s">
        <v>285</v>
      </c>
      <c r="W158" s="302">
        <f>'Industries data'!F24</f>
        <v>0.83351611379294455</v>
      </c>
    </row>
    <row r="159" spans="1:33" s="34" customFormat="1" ht="141.75" x14ac:dyDescent="0.25">
      <c r="A159" s="2"/>
      <c r="B159" s="2" t="s">
        <v>287</v>
      </c>
      <c r="C159" s="21" t="s">
        <v>271</v>
      </c>
      <c r="D159" s="3">
        <v>2010</v>
      </c>
      <c r="E159" s="81" t="s">
        <v>4</v>
      </c>
      <c r="F159" s="21" t="s">
        <v>51</v>
      </c>
      <c r="G159" s="3" t="s">
        <v>256</v>
      </c>
      <c r="H159" s="3" t="s">
        <v>47</v>
      </c>
      <c r="I159" s="3" t="s">
        <v>113</v>
      </c>
      <c r="J159" s="3" t="s">
        <v>257</v>
      </c>
      <c r="K159" s="3" t="s">
        <v>258</v>
      </c>
      <c r="L159" s="7" t="s">
        <v>107</v>
      </c>
      <c r="M159" s="3" t="s">
        <v>47</v>
      </c>
      <c r="N159" s="3" t="s">
        <v>81</v>
      </c>
      <c r="O159" s="3" t="s">
        <v>259</v>
      </c>
      <c r="P159" s="3" t="s">
        <v>88</v>
      </c>
      <c r="Q159" s="3" t="s">
        <v>56</v>
      </c>
      <c r="R159" s="3" t="s">
        <v>47</v>
      </c>
      <c r="S159" s="3" t="s">
        <v>53</v>
      </c>
      <c r="T159" s="3" t="s">
        <v>53</v>
      </c>
      <c r="U159" s="3" t="s">
        <v>53</v>
      </c>
      <c r="V159" s="4" t="s">
        <v>288</v>
      </c>
      <c r="W159" s="302">
        <f>'Industries data'!F25</f>
        <v>0.88796285975996825</v>
      </c>
    </row>
    <row r="160" spans="1:33" s="344" customFormat="1" x14ac:dyDescent="0.25">
      <c r="A160" s="327"/>
      <c r="B160" s="327"/>
      <c r="C160" s="329" t="s">
        <v>168</v>
      </c>
      <c r="D160" s="328"/>
      <c r="E160" s="354"/>
      <c r="F160" s="329" t="s">
        <v>168</v>
      </c>
      <c r="G160" s="328"/>
      <c r="H160" s="328"/>
      <c r="I160" s="328"/>
      <c r="J160" s="328"/>
      <c r="K160" s="328"/>
      <c r="L160" s="342"/>
      <c r="M160" s="328"/>
      <c r="N160" s="328"/>
      <c r="O160" s="328"/>
      <c r="P160" s="328"/>
      <c r="Q160" s="328"/>
      <c r="R160" s="328"/>
      <c r="S160" s="328"/>
      <c r="T160" s="328"/>
      <c r="U160" s="328"/>
      <c r="V160" s="330"/>
      <c r="W160" s="338"/>
      <c r="X160" s="331"/>
      <c r="Y160" s="331"/>
      <c r="Z160" s="327"/>
      <c r="AA160" s="327"/>
      <c r="AB160" s="327"/>
      <c r="AC160" s="327"/>
      <c r="AD160" s="327"/>
      <c r="AE160" s="327"/>
      <c r="AF160" s="327"/>
      <c r="AG160" s="327"/>
    </row>
    <row r="161" spans="1:33" s="34" customFormat="1" ht="141.75" x14ac:dyDescent="0.25">
      <c r="A161" s="2"/>
      <c r="B161" s="2" t="s">
        <v>289</v>
      </c>
      <c r="C161" s="3" t="s">
        <v>290</v>
      </c>
      <c r="D161" s="3">
        <v>2020</v>
      </c>
      <c r="E161" s="81" t="s">
        <v>4</v>
      </c>
      <c r="F161" s="3" t="s">
        <v>51</v>
      </c>
      <c r="G161" s="3" t="s">
        <v>256</v>
      </c>
      <c r="H161" s="3" t="s">
        <v>47</v>
      </c>
      <c r="I161" s="3" t="s">
        <v>113</v>
      </c>
      <c r="J161" s="3" t="s">
        <v>58</v>
      </c>
      <c r="K161" s="3" t="s">
        <v>257</v>
      </c>
      <c r="L161" s="7" t="s">
        <v>107</v>
      </c>
      <c r="M161" s="3" t="s">
        <v>47</v>
      </c>
      <c r="N161" s="3" t="s">
        <v>81</v>
      </c>
      <c r="O161" s="3" t="s">
        <v>291</v>
      </c>
      <c r="P161" s="3" t="s">
        <v>88</v>
      </c>
      <c r="Q161" s="3" t="s">
        <v>56</v>
      </c>
      <c r="R161" s="3" t="s">
        <v>47</v>
      </c>
      <c r="S161" s="3" t="s">
        <v>53</v>
      </c>
      <c r="T161" s="3" t="s">
        <v>53</v>
      </c>
      <c r="U161" s="3" t="s">
        <v>53</v>
      </c>
      <c r="V161" s="4" t="s">
        <v>292</v>
      </c>
      <c r="W161" s="302">
        <f>'Industries data'!F27</f>
        <v>0.59450975042647269</v>
      </c>
    </row>
    <row r="162" spans="1:33" s="34" customFormat="1" ht="141.75" x14ac:dyDescent="0.25">
      <c r="A162" s="2"/>
      <c r="B162" s="2" t="s">
        <v>293</v>
      </c>
      <c r="C162" s="3" t="s">
        <v>290</v>
      </c>
      <c r="D162" s="3">
        <v>2019</v>
      </c>
      <c r="E162" s="81" t="s">
        <v>4</v>
      </c>
      <c r="F162" s="3" t="s">
        <v>51</v>
      </c>
      <c r="G162" s="3" t="s">
        <v>256</v>
      </c>
      <c r="H162" s="3" t="s">
        <v>47</v>
      </c>
      <c r="I162" s="3" t="s">
        <v>113</v>
      </c>
      <c r="J162" s="3" t="s">
        <v>58</v>
      </c>
      <c r="K162" s="3" t="s">
        <v>257</v>
      </c>
      <c r="L162" s="7" t="s">
        <v>107</v>
      </c>
      <c r="M162" s="3" t="s">
        <v>47</v>
      </c>
      <c r="N162" s="3" t="s">
        <v>81</v>
      </c>
      <c r="O162" s="3" t="s">
        <v>291</v>
      </c>
      <c r="P162" s="3" t="s">
        <v>88</v>
      </c>
      <c r="Q162" s="3" t="s">
        <v>56</v>
      </c>
      <c r="R162" s="3" t="s">
        <v>47</v>
      </c>
      <c r="S162" s="3" t="s">
        <v>53</v>
      </c>
      <c r="T162" s="3" t="s">
        <v>53</v>
      </c>
      <c r="U162" s="3" t="s">
        <v>53</v>
      </c>
      <c r="V162" s="4" t="s">
        <v>292</v>
      </c>
      <c r="W162" s="302">
        <f>'Industries data'!F28</f>
        <v>0.65615271898924243</v>
      </c>
    </row>
    <row r="163" spans="1:33" s="34" customFormat="1" ht="141.75" x14ac:dyDescent="0.25">
      <c r="A163" s="2"/>
      <c r="B163" s="2" t="s">
        <v>294</v>
      </c>
      <c r="C163" s="3" t="s">
        <v>290</v>
      </c>
      <c r="D163" s="3">
        <v>2018</v>
      </c>
      <c r="E163" s="81" t="s">
        <v>4</v>
      </c>
      <c r="F163" s="3" t="s">
        <v>51</v>
      </c>
      <c r="G163" s="3" t="s">
        <v>256</v>
      </c>
      <c r="H163" s="3" t="s">
        <v>47</v>
      </c>
      <c r="I163" s="3" t="s">
        <v>113</v>
      </c>
      <c r="J163" s="3" t="s">
        <v>58</v>
      </c>
      <c r="K163" s="3" t="s">
        <v>257</v>
      </c>
      <c r="L163" s="7" t="s">
        <v>107</v>
      </c>
      <c r="M163" s="3" t="s">
        <v>47</v>
      </c>
      <c r="N163" s="3" t="s">
        <v>81</v>
      </c>
      <c r="O163" s="3" t="s">
        <v>291</v>
      </c>
      <c r="P163" s="3" t="s">
        <v>88</v>
      </c>
      <c r="Q163" s="3" t="s">
        <v>56</v>
      </c>
      <c r="R163" s="3" t="s">
        <v>47</v>
      </c>
      <c r="S163" s="3" t="s">
        <v>53</v>
      </c>
      <c r="T163" s="3" t="s">
        <v>53</v>
      </c>
      <c r="U163" s="3" t="s">
        <v>53</v>
      </c>
      <c r="V163" s="4" t="s">
        <v>292</v>
      </c>
      <c r="W163" s="302">
        <f>'Industries data'!F29</f>
        <v>0.72213443507664654</v>
      </c>
    </row>
    <row r="164" spans="1:33" s="34" customFormat="1" ht="141.75" x14ac:dyDescent="0.25">
      <c r="A164" s="2"/>
      <c r="B164" s="2" t="s">
        <v>295</v>
      </c>
      <c r="C164" s="3" t="s">
        <v>290</v>
      </c>
      <c r="D164" s="3">
        <v>2017</v>
      </c>
      <c r="E164" s="81" t="s">
        <v>4</v>
      </c>
      <c r="F164" s="3" t="s">
        <v>51</v>
      </c>
      <c r="G164" s="3" t="s">
        <v>256</v>
      </c>
      <c r="H164" s="3" t="s">
        <v>47</v>
      </c>
      <c r="I164" s="3" t="s">
        <v>113</v>
      </c>
      <c r="J164" s="3" t="s">
        <v>58</v>
      </c>
      <c r="K164" s="3" t="s">
        <v>257</v>
      </c>
      <c r="L164" s="7" t="s">
        <v>107</v>
      </c>
      <c r="M164" s="3" t="s">
        <v>47</v>
      </c>
      <c r="N164" s="3" t="s">
        <v>81</v>
      </c>
      <c r="O164" s="3" t="s">
        <v>291</v>
      </c>
      <c r="P164" s="3" t="s">
        <v>88</v>
      </c>
      <c r="Q164" s="3" t="s">
        <v>56</v>
      </c>
      <c r="R164" s="3" t="s">
        <v>47</v>
      </c>
      <c r="S164" s="3" t="s">
        <v>53</v>
      </c>
      <c r="T164" s="3" t="s">
        <v>53</v>
      </c>
      <c r="U164" s="3" t="s">
        <v>53</v>
      </c>
      <c r="V164" s="4" t="s">
        <v>292</v>
      </c>
      <c r="W164" s="302">
        <f>'Industries data'!F30</f>
        <v>0.7350869520973129</v>
      </c>
    </row>
    <row r="165" spans="1:33" s="34" customFormat="1" ht="141.75" x14ac:dyDescent="0.25">
      <c r="A165" s="2"/>
      <c r="B165" s="2" t="s">
        <v>296</v>
      </c>
      <c r="C165" s="3" t="s">
        <v>290</v>
      </c>
      <c r="D165" s="3">
        <v>2016</v>
      </c>
      <c r="E165" s="81" t="s">
        <v>4</v>
      </c>
      <c r="F165" s="3" t="s">
        <v>51</v>
      </c>
      <c r="G165" s="3" t="s">
        <v>256</v>
      </c>
      <c r="H165" s="3" t="s">
        <v>47</v>
      </c>
      <c r="I165" s="3" t="s">
        <v>113</v>
      </c>
      <c r="J165" s="3" t="s">
        <v>58</v>
      </c>
      <c r="K165" s="3" t="s">
        <v>257</v>
      </c>
      <c r="L165" s="7" t="s">
        <v>107</v>
      </c>
      <c r="M165" s="3" t="s">
        <v>47</v>
      </c>
      <c r="N165" s="3" t="s">
        <v>81</v>
      </c>
      <c r="O165" s="3" t="s">
        <v>291</v>
      </c>
      <c r="P165" s="3" t="s">
        <v>88</v>
      </c>
      <c r="Q165" s="3" t="s">
        <v>56</v>
      </c>
      <c r="R165" s="3" t="s">
        <v>47</v>
      </c>
      <c r="S165" s="3" t="s">
        <v>53</v>
      </c>
      <c r="T165" s="3" t="s">
        <v>53</v>
      </c>
      <c r="U165" s="3" t="s">
        <v>53</v>
      </c>
      <c r="V165" s="4" t="s">
        <v>292</v>
      </c>
      <c r="W165" s="302">
        <f>'Industries data'!F31</f>
        <v>0.80328583591051861</v>
      </c>
    </row>
    <row r="166" spans="1:33" s="34" customFormat="1" ht="141.75" x14ac:dyDescent="0.25">
      <c r="A166" s="2"/>
      <c r="B166" s="2" t="s">
        <v>297</v>
      </c>
      <c r="C166" s="3" t="s">
        <v>290</v>
      </c>
      <c r="D166" s="3">
        <v>2015</v>
      </c>
      <c r="E166" s="81" t="s">
        <v>4</v>
      </c>
      <c r="F166" s="3" t="s">
        <v>51</v>
      </c>
      <c r="G166" s="3" t="s">
        <v>256</v>
      </c>
      <c r="H166" s="3" t="s">
        <v>47</v>
      </c>
      <c r="I166" s="3" t="s">
        <v>113</v>
      </c>
      <c r="J166" s="3" t="s">
        <v>58</v>
      </c>
      <c r="K166" s="3" t="s">
        <v>257</v>
      </c>
      <c r="L166" s="7" t="s">
        <v>107</v>
      </c>
      <c r="M166" s="3" t="s">
        <v>47</v>
      </c>
      <c r="N166" s="3" t="s">
        <v>81</v>
      </c>
      <c r="O166" s="3" t="s">
        <v>291</v>
      </c>
      <c r="P166" s="3" t="s">
        <v>88</v>
      </c>
      <c r="Q166" s="3" t="s">
        <v>56</v>
      </c>
      <c r="R166" s="3" t="s">
        <v>47</v>
      </c>
      <c r="S166" s="3" t="s">
        <v>53</v>
      </c>
      <c r="T166" s="3" t="s">
        <v>53</v>
      </c>
      <c r="U166" s="3" t="s">
        <v>53</v>
      </c>
      <c r="V166" s="4" t="s">
        <v>292</v>
      </c>
      <c r="W166" s="302">
        <f>'Industries data'!F32</f>
        <v>0.80367000612375428</v>
      </c>
    </row>
    <row r="167" spans="1:33" s="34" customFormat="1" ht="141.75" x14ac:dyDescent="0.25">
      <c r="A167" s="2"/>
      <c r="B167" s="2" t="s">
        <v>298</v>
      </c>
      <c r="C167" s="3" t="s">
        <v>290</v>
      </c>
      <c r="D167" s="3">
        <v>2014</v>
      </c>
      <c r="E167" s="81" t="s">
        <v>4</v>
      </c>
      <c r="F167" s="3" t="s">
        <v>51</v>
      </c>
      <c r="G167" s="3" t="s">
        <v>256</v>
      </c>
      <c r="H167" s="3" t="s">
        <v>47</v>
      </c>
      <c r="I167" s="3" t="s">
        <v>113</v>
      </c>
      <c r="J167" s="3" t="s">
        <v>58</v>
      </c>
      <c r="K167" s="3" t="s">
        <v>257</v>
      </c>
      <c r="L167" s="7" t="s">
        <v>107</v>
      </c>
      <c r="M167" s="3" t="s">
        <v>47</v>
      </c>
      <c r="N167" s="3" t="s">
        <v>81</v>
      </c>
      <c r="O167" s="3" t="s">
        <v>291</v>
      </c>
      <c r="P167" s="3" t="s">
        <v>88</v>
      </c>
      <c r="Q167" s="3" t="s">
        <v>56</v>
      </c>
      <c r="R167" s="3" t="s">
        <v>47</v>
      </c>
      <c r="S167" s="3" t="s">
        <v>53</v>
      </c>
      <c r="T167" s="3" t="s">
        <v>53</v>
      </c>
      <c r="U167" s="3" t="s">
        <v>53</v>
      </c>
      <c r="V167" s="4" t="s">
        <v>292</v>
      </c>
      <c r="W167" s="302">
        <f>'Industries data'!F33</f>
        <v>0.85603006166555295</v>
      </c>
    </row>
    <row r="168" spans="1:33" s="34" customFormat="1" ht="141.75" x14ac:dyDescent="0.25">
      <c r="A168" s="2"/>
      <c r="B168" s="2" t="s">
        <v>299</v>
      </c>
      <c r="C168" s="3" t="s">
        <v>290</v>
      </c>
      <c r="D168" s="3">
        <v>2013</v>
      </c>
      <c r="E168" s="81" t="s">
        <v>4</v>
      </c>
      <c r="F168" s="3" t="s">
        <v>51</v>
      </c>
      <c r="G168" s="3" t="s">
        <v>256</v>
      </c>
      <c r="H168" s="3" t="s">
        <v>47</v>
      </c>
      <c r="I168" s="3" t="s">
        <v>113</v>
      </c>
      <c r="J168" s="3" t="s">
        <v>58</v>
      </c>
      <c r="K168" s="3" t="s">
        <v>257</v>
      </c>
      <c r="L168" s="7" t="s">
        <v>107</v>
      </c>
      <c r="M168" s="3" t="s">
        <v>47</v>
      </c>
      <c r="N168" s="3" t="s">
        <v>81</v>
      </c>
      <c r="O168" s="3" t="s">
        <v>291</v>
      </c>
      <c r="P168" s="3" t="s">
        <v>88</v>
      </c>
      <c r="Q168" s="3" t="s">
        <v>56</v>
      </c>
      <c r="R168" s="3" t="s">
        <v>47</v>
      </c>
      <c r="S168" s="3" t="s">
        <v>53</v>
      </c>
      <c r="T168" s="3" t="s">
        <v>53</v>
      </c>
      <c r="U168" s="3" t="s">
        <v>53</v>
      </c>
      <c r="V168" s="4" t="s">
        <v>292</v>
      </c>
      <c r="W168" s="302">
        <f>'Industries data'!F34</f>
        <v>0.82809184279437953</v>
      </c>
    </row>
    <row r="169" spans="1:33" s="34" customFormat="1" ht="141.75" x14ac:dyDescent="0.25">
      <c r="A169" s="2"/>
      <c r="B169" s="2" t="s">
        <v>300</v>
      </c>
      <c r="C169" s="3" t="s">
        <v>290</v>
      </c>
      <c r="D169" s="3">
        <v>2012</v>
      </c>
      <c r="E169" s="81" t="s">
        <v>4</v>
      </c>
      <c r="F169" s="3" t="s">
        <v>51</v>
      </c>
      <c r="G169" s="3" t="s">
        <v>256</v>
      </c>
      <c r="H169" s="3" t="s">
        <v>47</v>
      </c>
      <c r="I169" s="3" t="s">
        <v>113</v>
      </c>
      <c r="J169" s="3" t="s">
        <v>58</v>
      </c>
      <c r="K169" s="3" t="s">
        <v>257</v>
      </c>
      <c r="L169" s="7" t="s">
        <v>107</v>
      </c>
      <c r="M169" s="3" t="s">
        <v>47</v>
      </c>
      <c r="N169" s="3" t="s">
        <v>81</v>
      </c>
      <c r="O169" s="3" t="s">
        <v>291</v>
      </c>
      <c r="P169" s="3" t="s">
        <v>88</v>
      </c>
      <c r="Q169" s="3" t="s">
        <v>56</v>
      </c>
      <c r="R169" s="3" t="s">
        <v>47</v>
      </c>
      <c r="S169" s="3" t="s">
        <v>53</v>
      </c>
      <c r="T169" s="3" t="s">
        <v>53</v>
      </c>
      <c r="U169" s="3" t="s">
        <v>53</v>
      </c>
      <c r="V169" s="4" t="s">
        <v>292</v>
      </c>
      <c r="W169" s="302">
        <f>'Industries data'!F35</f>
        <v>0.94590822027926547</v>
      </c>
    </row>
    <row r="170" spans="1:33" s="34" customFormat="1" ht="141.75" x14ac:dyDescent="0.25">
      <c r="A170" s="2"/>
      <c r="B170" s="2" t="s">
        <v>301</v>
      </c>
      <c r="C170" s="3" t="s">
        <v>290</v>
      </c>
      <c r="D170" s="3">
        <v>2011</v>
      </c>
      <c r="E170" s="81" t="s">
        <v>4</v>
      </c>
      <c r="F170" s="3" t="s">
        <v>51</v>
      </c>
      <c r="G170" s="3" t="s">
        <v>256</v>
      </c>
      <c r="H170" s="3" t="s">
        <v>47</v>
      </c>
      <c r="I170" s="3" t="s">
        <v>113</v>
      </c>
      <c r="J170" s="3" t="s">
        <v>58</v>
      </c>
      <c r="K170" s="3" t="s">
        <v>257</v>
      </c>
      <c r="L170" s="7" t="s">
        <v>107</v>
      </c>
      <c r="M170" s="3" t="s">
        <v>47</v>
      </c>
      <c r="N170" s="3" t="s">
        <v>81</v>
      </c>
      <c r="O170" s="3" t="s">
        <v>291</v>
      </c>
      <c r="P170" s="3" t="s">
        <v>88</v>
      </c>
      <c r="Q170" s="3" t="s">
        <v>56</v>
      </c>
      <c r="R170" s="3" t="s">
        <v>47</v>
      </c>
      <c r="S170" s="3" t="s">
        <v>53</v>
      </c>
      <c r="T170" s="3" t="s">
        <v>53</v>
      </c>
      <c r="U170" s="3" t="s">
        <v>53</v>
      </c>
      <c r="V170" s="4" t="s">
        <v>292</v>
      </c>
      <c r="W170" s="302">
        <f>'Industries data'!F36</f>
        <v>0.99341741836496711</v>
      </c>
    </row>
    <row r="171" spans="1:33" s="344" customFormat="1" x14ac:dyDescent="0.25">
      <c r="A171" s="327"/>
      <c r="B171" s="327"/>
      <c r="C171" s="329" t="s">
        <v>168</v>
      </c>
      <c r="D171" s="328"/>
      <c r="E171" s="354"/>
      <c r="F171" s="329" t="s">
        <v>168</v>
      </c>
      <c r="G171" s="328"/>
      <c r="H171" s="328"/>
      <c r="I171" s="328"/>
      <c r="J171" s="328"/>
      <c r="K171" s="328"/>
      <c r="L171" s="342"/>
      <c r="M171" s="328"/>
      <c r="N171" s="328"/>
      <c r="O171" s="328"/>
      <c r="P171" s="328"/>
      <c r="Q171" s="328"/>
      <c r="R171" s="328"/>
      <c r="S171" s="328"/>
      <c r="T171" s="328"/>
      <c r="U171" s="328"/>
      <c r="V171" s="330"/>
      <c r="W171" s="338"/>
      <c r="X171" s="331"/>
      <c r="Y171" s="331"/>
      <c r="Z171" s="327"/>
      <c r="AA171" s="327"/>
      <c r="AB171" s="327"/>
      <c r="AC171" s="327"/>
      <c r="AD171" s="327"/>
      <c r="AE171" s="327"/>
      <c r="AF171" s="327"/>
      <c r="AG171" s="327"/>
    </row>
    <row r="172" spans="1:33" s="34" customFormat="1" ht="141.75" x14ac:dyDescent="0.25">
      <c r="A172" s="2"/>
      <c r="B172" s="2" t="s">
        <v>302</v>
      </c>
      <c r="C172" s="3" t="s">
        <v>302</v>
      </c>
      <c r="D172" s="3">
        <v>2020</v>
      </c>
      <c r="E172" s="81" t="s">
        <v>303</v>
      </c>
      <c r="F172" s="3" t="s">
        <v>51</v>
      </c>
      <c r="G172" s="3" t="s">
        <v>256</v>
      </c>
      <c r="H172" s="3" t="s">
        <v>47</v>
      </c>
      <c r="I172" s="3" t="s">
        <v>113</v>
      </c>
      <c r="J172" s="3" t="s">
        <v>257</v>
      </c>
      <c r="K172" s="3" t="s">
        <v>258</v>
      </c>
      <c r="L172" s="7" t="s">
        <v>107</v>
      </c>
      <c r="M172" s="3" t="s">
        <v>47</v>
      </c>
      <c r="N172" s="3" t="s">
        <v>81</v>
      </c>
      <c r="O172" s="3" t="s">
        <v>259</v>
      </c>
      <c r="P172" s="3" t="s">
        <v>88</v>
      </c>
      <c r="Q172" s="3" t="s">
        <v>56</v>
      </c>
      <c r="R172" s="3" t="s">
        <v>47</v>
      </c>
      <c r="S172" s="3" t="s">
        <v>53</v>
      </c>
      <c r="T172" s="3" t="s">
        <v>53</v>
      </c>
      <c r="U172" s="3" t="s">
        <v>53</v>
      </c>
      <c r="V172" s="4" t="s">
        <v>304</v>
      </c>
      <c r="W172" s="302">
        <f>'Industries data'!F38</f>
        <v>1.1893459780402327</v>
      </c>
    </row>
    <row r="173" spans="1:33" s="34" customFormat="1" ht="141.75" x14ac:dyDescent="0.25">
      <c r="A173" s="2"/>
      <c r="B173" s="2" t="s">
        <v>302</v>
      </c>
      <c r="C173" s="3" t="s">
        <v>302</v>
      </c>
      <c r="D173" s="3">
        <v>2019</v>
      </c>
      <c r="E173" s="81" t="s">
        <v>305</v>
      </c>
      <c r="F173" s="3" t="s">
        <v>51</v>
      </c>
      <c r="G173" s="3" t="s">
        <v>256</v>
      </c>
      <c r="H173" s="3" t="s">
        <v>47</v>
      </c>
      <c r="I173" s="3" t="s">
        <v>113</v>
      </c>
      <c r="J173" s="3" t="s">
        <v>257</v>
      </c>
      <c r="K173" s="3" t="s">
        <v>258</v>
      </c>
      <c r="L173" s="7" t="s">
        <v>107</v>
      </c>
      <c r="M173" s="3" t="s">
        <v>47</v>
      </c>
      <c r="N173" s="3" t="s">
        <v>81</v>
      </c>
      <c r="O173" s="3" t="s">
        <v>259</v>
      </c>
      <c r="P173" s="3" t="s">
        <v>88</v>
      </c>
      <c r="Q173" s="3" t="s">
        <v>56</v>
      </c>
      <c r="R173" s="3" t="s">
        <v>47</v>
      </c>
      <c r="S173" s="3" t="s">
        <v>53</v>
      </c>
      <c r="T173" s="3" t="s">
        <v>53</v>
      </c>
      <c r="U173" s="3" t="s">
        <v>53</v>
      </c>
      <c r="V173" s="4" t="s">
        <v>304</v>
      </c>
      <c r="W173" s="302">
        <f>'Industries data'!F39</f>
        <v>1.0904761776569529</v>
      </c>
    </row>
    <row r="174" spans="1:33" s="34" customFormat="1" ht="141.75" x14ac:dyDescent="0.25">
      <c r="A174" s="2"/>
      <c r="B174" s="2" t="s">
        <v>302</v>
      </c>
      <c r="C174" s="3" t="s">
        <v>302</v>
      </c>
      <c r="D174" s="3">
        <v>2018</v>
      </c>
      <c r="E174" s="81" t="s">
        <v>306</v>
      </c>
      <c r="F174" s="3" t="s">
        <v>51</v>
      </c>
      <c r="G174" s="3" t="s">
        <v>256</v>
      </c>
      <c r="H174" s="3" t="s">
        <v>47</v>
      </c>
      <c r="I174" s="3" t="s">
        <v>113</v>
      </c>
      <c r="J174" s="3" t="s">
        <v>257</v>
      </c>
      <c r="K174" s="3" t="s">
        <v>258</v>
      </c>
      <c r="L174" s="7" t="s">
        <v>107</v>
      </c>
      <c r="M174" s="3" t="s">
        <v>47</v>
      </c>
      <c r="N174" s="3" t="s">
        <v>81</v>
      </c>
      <c r="O174" s="3" t="s">
        <v>259</v>
      </c>
      <c r="P174" s="3" t="s">
        <v>88</v>
      </c>
      <c r="Q174" s="3" t="s">
        <v>56</v>
      </c>
      <c r="R174" s="3" t="s">
        <v>47</v>
      </c>
      <c r="S174" s="3" t="s">
        <v>53</v>
      </c>
      <c r="T174" s="3" t="s">
        <v>53</v>
      </c>
      <c r="U174" s="3" t="s">
        <v>53</v>
      </c>
      <c r="V174" s="4" t="s">
        <v>307</v>
      </c>
      <c r="W174" s="302">
        <f>'Industries data'!F40</f>
        <v>1.1761798570148085</v>
      </c>
    </row>
    <row r="175" spans="1:33" s="34" customFormat="1" ht="141.75" x14ac:dyDescent="0.25">
      <c r="A175" s="2"/>
      <c r="B175" s="2" t="s">
        <v>302</v>
      </c>
      <c r="C175" s="3" t="s">
        <v>302</v>
      </c>
      <c r="D175" s="3">
        <v>2017</v>
      </c>
      <c r="E175" s="81" t="s">
        <v>308</v>
      </c>
      <c r="F175" s="3" t="s">
        <v>51</v>
      </c>
      <c r="G175" s="3" t="s">
        <v>256</v>
      </c>
      <c r="H175" s="3" t="s">
        <v>47</v>
      </c>
      <c r="I175" s="3" t="s">
        <v>113</v>
      </c>
      <c r="J175" s="3" t="s">
        <v>257</v>
      </c>
      <c r="K175" s="3" t="s">
        <v>258</v>
      </c>
      <c r="L175" s="7" t="s">
        <v>107</v>
      </c>
      <c r="M175" s="3" t="s">
        <v>47</v>
      </c>
      <c r="N175" s="3" t="s">
        <v>81</v>
      </c>
      <c r="O175" s="3" t="s">
        <v>259</v>
      </c>
      <c r="P175" s="3" t="s">
        <v>88</v>
      </c>
      <c r="Q175" s="3" t="s">
        <v>56</v>
      </c>
      <c r="R175" s="3" t="s">
        <v>47</v>
      </c>
      <c r="S175" s="3" t="s">
        <v>53</v>
      </c>
      <c r="T175" s="3" t="s">
        <v>53</v>
      </c>
      <c r="U175" s="3" t="s">
        <v>53</v>
      </c>
      <c r="V175" s="4" t="s">
        <v>307</v>
      </c>
      <c r="W175" s="302">
        <f>'Industries data'!F41</f>
        <v>1.3262255357303023</v>
      </c>
    </row>
    <row r="176" spans="1:33" s="34" customFormat="1" ht="141.75" x14ac:dyDescent="0.25">
      <c r="A176" s="2"/>
      <c r="B176" s="2" t="s">
        <v>302</v>
      </c>
      <c r="C176" s="3" t="s">
        <v>302</v>
      </c>
      <c r="D176" s="3">
        <v>2016</v>
      </c>
      <c r="E176" s="81" t="s">
        <v>309</v>
      </c>
      <c r="F176" s="3" t="s">
        <v>51</v>
      </c>
      <c r="G176" s="3" t="s">
        <v>256</v>
      </c>
      <c r="H176" s="3" t="s">
        <v>47</v>
      </c>
      <c r="I176" s="3" t="s">
        <v>113</v>
      </c>
      <c r="J176" s="3" t="s">
        <v>257</v>
      </c>
      <c r="K176" s="3" t="s">
        <v>258</v>
      </c>
      <c r="L176" s="7" t="s">
        <v>107</v>
      </c>
      <c r="M176" s="3" t="s">
        <v>47</v>
      </c>
      <c r="N176" s="3" t="s">
        <v>81</v>
      </c>
      <c r="O176" s="3" t="s">
        <v>259</v>
      </c>
      <c r="P176" s="3" t="s">
        <v>88</v>
      </c>
      <c r="Q176" s="3" t="s">
        <v>56</v>
      </c>
      <c r="R176" s="3" t="s">
        <v>47</v>
      </c>
      <c r="S176" s="3" t="s">
        <v>53</v>
      </c>
      <c r="T176" s="3" t="s">
        <v>53</v>
      </c>
      <c r="U176" s="3" t="s">
        <v>53</v>
      </c>
      <c r="V176" s="4" t="s">
        <v>307</v>
      </c>
      <c r="W176" s="302">
        <f>'Industries data'!F42</f>
        <v>1.0877485551835617</v>
      </c>
    </row>
    <row r="177" spans="1:33" s="34" customFormat="1" ht="141.75" x14ac:dyDescent="0.25">
      <c r="A177" s="2"/>
      <c r="B177" s="2" t="s">
        <v>302</v>
      </c>
      <c r="C177" s="3" t="s">
        <v>302</v>
      </c>
      <c r="D177" s="3">
        <v>2015</v>
      </c>
      <c r="E177" s="81" t="s">
        <v>310</v>
      </c>
      <c r="F177" s="3" t="s">
        <v>51</v>
      </c>
      <c r="G177" s="3" t="s">
        <v>256</v>
      </c>
      <c r="H177" s="3" t="s">
        <v>47</v>
      </c>
      <c r="I177" s="3" t="s">
        <v>113</v>
      </c>
      <c r="J177" s="3" t="s">
        <v>257</v>
      </c>
      <c r="K177" s="3" t="s">
        <v>258</v>
      </c>
      <c r="L177" s="7" t="s">
        <v>107</v>
      </c>
      <c r="M177" s="3" t="s">
        <v>47</v>
      </c>
      <c r="N177" s="3" t="s">
        <v>81</v>
      </c>
      <c r="O177" s="3" t="s">
        <v>259</v>
      </c>
      <c r="P177" s="3" t="s">
        <v>88</v>
      </c>
      <c r="Q177" s="3" t="s">
        <v>56</v>
      </c>
      <c r="R177" s="3" t="s">
        <v>47</v>
      </c>
      <c r="S177" s="3" t="s">
        <v>53</v>
      </c>
      <c r="T177" s="3" t="s">
        <v>53</v>
      </c>
      <c r="U177" s="3" t="s">
        <v>53</v>
      </c>
      <c r="V177" s="4" t="s">
        <v>307</v>
      </c>
      <c r="W177" s="302">
        <f>'Industries data'!F43</f>
        <v>1.3026018519453255</v>
      </c>
    </row>
    <row r="178" spans="1:33" s="34" customFormat="1" ht="141.75" x14ac:dyDescent="0.25">
      <c r="A178" s="2"/>
      <c r="B178" s="2" t="s">
        <v>302</v>
      </c>
      <c r="C178" s="3" t="s">
        <v>302</v>
      </c>
      <c r="D178" s="3">
        <v>2014</v>
      </c>
      <c r="E178" s="81" t="s">
        <v>311</v>
      </c>
      <c r="F178" s="3" t="s">
        <v>51</v>
      </c>
      <c r="G178" s="3" t="s">
        <v>256</v>
      </c>
      <c r="H178" s="3" t="s">
        <v>47</v>
      </c>
      <c r="I178" s="3" t="s">
        <v>113</v>
      </c>
      <c r="J178" s="3" t="s">
        <v>257</v>
      </c>
      <c r="K178" s="3" t="s">
        <v>258</v>
      </c>
      <c r="L178" s="7" t="s">
        <v>107</v>
      </c>
      <c r="M178" s="3" t="s">
        <v>47</v>
      </c>
      <c r="N178" s="3" t="s">
        <v>81</v>
      </c>
      <c r="O178" s="3" t="s">
        <v>259</v>
      </c>
      <c r="P178" s="3" t="s">
        <v>88</v>
      </c>
      <c r="Q178" s="3" t="s">
        <v>56</v>
      </c>
      <c r="R178" s="3" t="s">
        <v>47</v>
      </c>
      <c r="S178" s="3" t="s">
        <v>53</v>
      </c>
      <c r="T178" s="3" t="s">
        <v>53</v>
      </c>
      <c r="U178" s="3" t="s">
        <v>53</v>
      </c>
      <c r="V178" s="4" t="s">
        <v>312</v>
      </c>
      <c r="W178" s="302">
        <f>'Industries data'!F44</f>
        <v>1.4577470786507889</v>
      </c>
    </row>
    <row r="179" spans="1:33" s="34" customFormat="1" ht="141.75" x14ac:dyDescent="0.25">
      <c r="A179" s="2"/>
      <c r="B179" s="2" t="s">
        <v>302</v>
      </c>
      <c r="C179" s="3" t="s">
        <v>302</v>
      </c>
      <c r="D179" s="3">
        <v>2013</v>
      </c>
      <c r="E179" s="81" t="s">
        <v>313</v>
      </c>
      <c r="F179" s="3" t="s">
        <v>51</v>
      </c>
      <c r="G179" s="3" t="s">
        <v>256</v>
      </c>
      <c r="H179" s="3" t="s">
        <v>47</v>
      </c>
      <c r="I179" s="3" t="s">
        <v>113</v>
      </c>
      <c r="J179" s="3" t="s">
        <v>257</v>
      </c>
      <c r="K179" s="3" t="s">
        <v>258</v>
      </c>
      <c r="L179" s="7" t="s">
        <v>107</v>
      </c>
      <c r="M179" s="3" t="s">
        <v>47</v>
      </c>
      <c r="N179" s="3" t="s">
        <v>81</v>
      </c>
      <c r="O179" s="3" t="s">
        <v>259</v>
      </c>
      <c r="P179" s="3" t="s">
        <v>88</v>
      </c>
      <c r="Q179" s="3" t="s">
        <v>56</v>
      </c>
      <c r="R179" s="3" t="s">
        <v>47</v>
      </c>
      <c r="S179" s="3" t="s">
        <v>53</v>
      </c>
      <c r="T179" s="3" t="s">
        <v>53</v>
      </c>
      <c r="U179" s="3" t="s">
        <v>53</v>
      </c>
      <c r="V179" s="4" t="s">
        <v>312</v>
      </c>
      <c r="W179" s="302">
        <f>'Industries data'!F45</f>
        <v>1.3874924248160654</v>
      </c>
    </row>
    <row r="180" spans="1:33" s="34" customFormat="1" ht="141.75" x14ac:dyDescent="0.25">
      <c r="A180" s="2"/>
      <c r="B180" s="2" t="s">
        <v>302</v>
      </c>
      <c r="C180" s="3" t="s">
        <v>302</v>
      </c>
      <c r="D180" s="3">
        <v>2012</v>
      </c>
      <c r="E180" s="81" t="s">
        <v>314</v>
      </c>
      <c r="F180" s="3" t="s">
        <v>51</v>
      </c>
      <c r="G180" s="3" t="s">
        <v>256</v>
      </c>
      <c r="H180" s="3" t="s">
        <v>47</v>
      </c>
      <c r="I180" s="3" t="s">
        <v>113</v>
      </c>
      <c r="J180" s="3" t="s">
        <v>257</v>
      </c>
      <c r="K180" s="3" t="s">
        <v>258</v>
      </c>
      <c r="L180" s="7" t="s">
        <v>107</v>
      </c>
      <c r="M180" s="3" t="s">
        <v>47</v>
      </c>
      <c r="N180" s="3" t="s">
        <v>81</v>
      </c>
      <c r="O180" s="3" t="s">
        <v>259</v>
      </c>
      <c r="P180" s="3" t="s">
        <v>88</v>
      </c>
      <c r="Q180" s="3" t="s">
        <v>56</v>
      </c>
      <c r="R180" s="3" t="s">
        <v>47</v>
      </c>
      <c r="S180" s="3" t="s">
        <v>53</v>
      </c>
      <c r="T180" s="3" t="s">
        <v>53</v>
      </c>
      <c r="U180" s="3" t="s">
        <v>53</v>
      </c>
      <c r="V180" s="4" t="s">
        <v>315</v>
      </c>
      <c r="W180" s="302">
        <f>'Industries data'!F46</f>
        <v>1.4899927216674813</v>
      </c>
    </row>
    <row r="181" spans="1:33" s="34" customFormat="1" ht="141.75" x14ac:dyDescent="0.25">
      <c r="A181" s="2"/>
      <c r="B181" s="2" t="s">
        <v>302</v>
      </c>
      <c r="C181" s="3" t="s">
        <v>302</v>
      </c>
      <c r="D181" s="3">
        <v>2011</v>
      </c>
      <c r="E181" s="81" t="s">
        <v>314</v>
      </c>
      <c r="F181" s="3" t="s">
        <v>51</v>
      </c>
      <c r="G181" s="3" t="s">
        <v>256</v>
      </c>
      <c r="H181" s="3" t="s">
        <v>47</v>
      </c>
      <c r="I181" s="3" t="s">
        <v>113</v>
      </c>
      <c r="J181" s="3" t="s">
        <v>257</v>
      </c>
      <c r="K181" s="3" t="s">
        <v>258</v>
      </c>
      <c r="L181" s="7" t="s">
        <v>107</v>
      </c>
      <c r="M181" s="3" t="s">
        <v>47</v>
      </c>
      <c r="N181" s="3" t="s">
        <v>81</v>
      </c>
      <c r="O181" s="3" t="s">
        <v>259</v>
      </c>
      <c r="P181" s="3" t="s">
        <v>88</v>
      </c>
      <c r="Q181" s="3" t="s">
        <v>56</v>
      </c>
      <c r="R181" s="3" t="s">
        <v>47</v>
      </c>
      <c r="S181" s="3" t="s">
        <v>53</v>
      </c>
      <c r="T181" s="3" t="s">
        <v>53</v>
      </c>
      <c r="U181" s="3" t="s">
        <v>53</v>
      </c>
      <c r="V181" s="4" t="s">
        <v>315</v>
      </c>
      <c r="W181" s="302">
        <f>'Industries data'!F47</f>
        <v>1.7737390506874333</v>
      </c>
    </row>
    <row r="182" spans="1:33" s="344" customFormat="1" x14ac:dyDescent="0.25">
      <c r="A182" s="327"/>
      <c r="B182" s="327"/>
      <c r="C182" s="329" t="s">
        <v>168</v>
      </c>
      <c r="D182" s="328"/>
      <c r="E182" s="354"/>
      <c r="F182" s="329" t="s">
        <v>168</v>
      </c>
      <c r="G182" s="328"/>
      <c r="H182" s="328"/>
      <c r="I182" s="328"/>
      <c r="J182" s="328"/>
      <c r="K182" s="328"/>
      <c r="L182" s="342"/>
      <c r="M182" s="328"/>
      <c r="N182" s="328"/>
      <c r="O182" s="328"/>
      <c r="P182" s="328"/>
      <c r="Q182" s="328"/>
      <c r="R182" s="328"/>
      <c r="S182" s="328"/>
      <c r="T182" s="328"/>
      <c r="U182" s="328"/>
      <c r="V182" s="330"/>
      <c r="W182" s="338"/>
      <c r="X182" s="331"/>
      <c r="Y182" s="331"/>
      <c r="Z182" s="327"/>
      <c r="AA182" s="327"/>
      <c r="AB182" s="327"/>
      <c r="AC182" s="327"/>
      <c r="AD182" s="327"/>
      <c r="AE182" s="327"/>
      <c r="AF182" s="327"/>
      <c r="AG182" s="327"/>
    </row>
    <row r="183" spans="1:33" s="34" customFormat="1" ht="141.75" x14ac:dyDescent="0.25">
      <c r="A183" s="2"/>
      <c r="B183" s="2" t="s">
        <v>316</v>
      </c>
      <c r="C183" s="3" t="s">
        <v>316</v>
      </c>
      <c r="D183" s="3">
        <v>2020</v>
      </c>
      <c r="E183" s="81" t="s">
        <v>317</v>
      </c>
      <c r="F183" s="3" t="s">
        <v>51</v>
      </c>
      <c r="G183" s="3" t="s">
        <v>256</v>
      </c>
      <c r="H183" s="3" t="s">
        <v>47</v>
      </c>
      <c r="I183" s="3" t="s">
        <v>113</v>
      </c>
      <c r="J183" s="3" t="s">
        <v>257</v>
      </c>
      <c r="K183" s="3" t="s">
        <v>258</v>
      </c>
      <c r="L183" s="7" t="s">
        <v>107</v>
      </c>
      <c r="M183" s="3" t="s">
        <v>47</v>
      </c>
      <c r="N183" s="3" t="s">
        <v>81</v>
      </c>
      <c r="O183" s="3" t="s">
        <v>318</v>
      </c>
      <c r="P183" s="3" t="s">
        <v>88</v>
      </c>
      <c r="Q183" s="3" t="s">
        <v>56</v>
      </c>
      <c r="R183" s="3" t="s">
        <v>47</v>
      </c>
      <c r="S183" s="3" t="s">
        <v>53</v>
      </c>
      <c r="T183" s="3" t="s">
        <v>53</v>
      </c>
      <c r="U183" s="3" t="s">
        <v>53</v>
      </c>
      <c r="V183" s="4" t="s">
        <v>319</v>
      </c>
      <c r="W183" s="302">
        <f>'Industries data'!F49</f>
        <v>0.44481079951327962</v>
      </c>
    </row>
    <row r="184" spans="1:33" s="34" customFormat="1" ht="141.75" x14ac:dyDescent="0.25">
      <c r="A184" s="2"/>
      <c r="B184" s="2" t="s">
        <v>316</v>
      </c>
      <c r="C184" s="3" t="s">
        <v>316</v>
      </c>
      <c r="D184" s="3">
        <v>2019</v>
      </c>
      <c r="E184" s="81" t="s">
        <v>320</v>
      </c>
      <c r="F184" s="3" t="s">
        <v>51</v>
      </c>
      <c r="G184" s="3" t="s">
        <v>256</v>
      </c>
      <c r="H184" s="3" t="s">
        <v>47</v>
      </c>
      <c r="I184" s="3" t="s">
        <v>113</v>
      </c>
      <c r="J184" s="3" t="s">
        <v>257</v>
      </c>
      <c r="K184" s="3" t="s">
        <v>258</v>
      </c>
      <c r="L184" s="7" t="s">
        <v>107</v>
      </c>
      <c r="M184" s="3" t="s">
        <v>47</v>
      </c>
      <c r="N184" s="3" t="s">
        <v>81</v>
      </c>
      <c r="O184" s="3" t="s">
        <v>318</v>
      </c>
      <c r="P184" s="3" t="s">
        <v>88</v>
      </c>
      <c r="Q184" s="3" t="s">
        <v>56</v>
      </c>
      <c r="R184" s="3" t="s">
        <v>47</v>
      </c>
      <c r="S184" s="3" t="s">
        <v>53</v>
      </c>
      <c r="T184" s="3" t="s">
        <v>53</v>
      </c>
      <c r="U184" s="3" t="s">
        <v>53</v>
      </c>
      <c r="V184" s="4" t="s">
        <v>319</v>
      </c>
      <c r="W184" s="302">
        <f>'Industries data'!F50</f>
        <v>0.49537001190161101</v>
      </c>
    </row>
    <row r="185" spans="1:33" s="34" customFormat="1" ht="141.75" x14ac:dyDescent="0.25">
      <c r="A185" s="2"/>
      <c r="B185" s="2" t="s">
        <v>316</v>
      </c>
      <c r="C185" s="3" t="s">
        <v>316</v>
      </c>
      <c r="D185" s="3">
        <v>2018</v>
      </c>
      <c r="E185" s="81" t="s">
        <v>321</v>
      </c>
      <c r="F185" s="3" t="s">
        <v>51</v>
      </c>
      <c r="G185" s="3" t="s">
        <v>256</v>
      </c>
      <c r="H185" s="3" t="s">
        <v>47</v>
      </c>
      <c r="I185" s="3" t="s">
        <v>113</v>
      </c>
      <c r="J185" s="3" t="s">
        <v>257</v>
      </c>
      <c r="K185" s="3" t="s">
        <v>258</v>
      </c>
      <c r="L185" s="7" t="s">
        <v>107</v>
      </c>
      <c r="M185" s="3" t="s">
        <v>47</v>
      </c>
      <c r="N185" s="3" t="s">
        <v>81</v>
      </c>
      <c r="O185" s="3" t="s">
        <v>318</v>
      </c>
      <c r="P185" s="3" t="s">
        <v>88</v>
      </c>
      <c r="Q185" s="3" t="s">
        <v>56</v>
      </c>
      <c r="R185" s="3" t="s">
        <v>47</v>
      </c>
      <c r="S185" s="3" t="s">
        <v>53</v>
      </c>
      <c r="T185" s="3" t="s">
        <v>53</v>
      </c>
      <c r="U185" s="3" t="s">
        <v>53</v>
      </c>
      <c r="V185" s="4" t="s">
        <v>322</v>
      </c>
      <c r="W185" s="302">
        <f>'Industries data'!F51</f>
        <v>0.48216876086449617</v>
      </c>
    </row>
    <row r="186" spans="1:33" s="34" customFormat="1" ht="141.75" x14ac:dyDescent="0.25">
      <c r="A186" s="2"/>
      <c r="B186" s="2" t="s">
        <v>316</v>
      </c>
      <c r="C186" s="3" t="s">
        <v>316</v>
      </c>
      <c r="D186" s="3">
        <v>2017</v>
      </c>
      <c r="E186" s="81" t="s">
        <v>323</v>
      </c>
      <c r="F186" s="3" t="s">
        <v>51</v>
      </c>
      <c r="G186" s="3" t="s">
        <v>256</v>
      </c>
      <c r="H186" s="3" t="s">
        <v>47</v>
      </c>
      <c r="I186" s="3" t="s">
        <v>113</v>
      </c>
      <c r="J186" s="3" t="s">
        <v>257</v>
      </c>
      <c r="K186" s="3" t="s">
        <v>258</v>
      </c>
      <c r="L186" s="7" t="s">
        <v>107</v>
      </c>
      <c r="M186" s="3" t="s">
        <v>47</v>
      </c>
      <c r="N186" s="3" t="s">
        <v>81</v>
      </c>
      <c r="O186" s="3" t="s">
        <v>318</v>
      </c>
      <c r="P186" s="3" t="s">
        <v>88</v>
      </c>
      <c r="Q186" s="3" t="s">
        <v>56</v>
      </c>
      <c r="R186" s="3" t="s">
        <v>47</v>
      </c>
      <c r="S186" s="3" t="s">
        <v>53</v>
      </c>
      <c r="T186" s="3" t="s">
        <v>53</v>
      </c>
      <c r="U186" s="3" t="s">
        <v>53</v>
      </c>
      <c r="V186" s="4" t="s">
        <v>324</v>
      </c>
      <c r="W186" s="302">
        <f>'Industries data'!F52</f>
        <v>0.50087322333353357</v>
      </c>
    </row>
    <row r="187" spans="1:33" s="34" customFormat="1" ht="141.75" x14ac:dyDescent="0.25">
      <c r="A187" s="2"/>
      <c r="B187" s="2" t="s">
        <v>316</v>
      </c>
      <c r="C187" s="3" t="s">
        <v>316</v>
      </c>
      <c r="D187" s="3">
        <v>2016</v>
      </c>
      <c r="E187" s="81" t="s">
        <v>325</v>
      </c>
      <c r="F187" s="3" t="s">
        <v>51</v>
      </c>
      <c r="G187" s="3" t="s">
        <v>256</v>
      </c>
      <c r="H187" s="3" t="s">
        <v>47</v>
      </c>
      <c r="I187" s="3" t="s">
        <v>113</v>
      </c>
      <c r="J187" s="3" t="s">
        <v>257</v>
      </c>
      <c r="K187" s="3" t="s">
        <v>258</v>
      </c>
      <c r="L187" s="7" t="s">
        <v>107</v>
      </c>
      <c r="M187" s="3" t="s">
        <v>47</v>
      </c>
      <c r="N187" s="3" t="s">
        <v>81</v>
      </c>
      <c r="O187" s="3" t="s">
        <v>318</v>
      </c>
      <c r="P187" s="3" t="s">
        <v>88</v>
      </c>
      <c r="Q187" s="3" t="s">
        <v>56</v>
      </c>
      <c r="R187" s="3" t="s">
        <v>47</v>
      </c>
      <c r="S187" s="3" t="s">
        <v>53</v>
      </c>
      <c r="T187" s="3" t="s">
        <v>53</v>
      </c>
      <c r="U187" s="3" t="s">
        <v>53</v>
      </c>
      <c r="V187" s="4" t="s">
        <v>324</v>
      </c>
      <c r="W187" s="302">
        <f>'Industries data'!F53</f>
        <v>0.56360041846474707</v>
      </c>
    </row>
    <row r="188" spans="1:33" s="34" customFormat="1" ht="141.75" x14ac:dyDescent="0.25">
      <c r="A188" s="2"/>
      <c r="B188" s="2" t="s">
        <v>316</v>
      </c>
      <c r="C188" s="3" t="s">
        <v>316</v>
      </c>
      <c r="D188" s="3">
        <v>2015</v>
      </c>
      <c r="E188" s="81" t="s">
        <v>325</v>
      </c>
      <c r="F188" s="3" t="s">
        <v>51</v>
      </c>
      <c r="G188" s="3" t="s">
        <v>256</v>
      </c>
      <c r="H188" s="3" t="s">
        <v>47</v>
      </c>
      <c r="I188" s="3" t="s">
        <v>113</v>
      </c>
      <c r="J188" s="3" t="s">
        <v>257</v>
      </c>
      <c r="K188" s="3" t="s">
        <v>258</v>
      </c>
      <c r="L188" s="7" t="s">
        <v>107</v>
      </c>
      <c r="M188" s="3" t="s">
        <v>47</v>
      </c>
      <c r="N188" s="3" t="s">
        <v>81</v>
      </c>
      <c r="O188" s="3" t="s">
        <v>318</v>
      </c>
      <c r="P188" s="3" t="s">
        <v>88</v>
      </c>
      <c r="Q188" s="3" t="s">
        <v>56</v>
      </c>
      <c r="R188" s="3" t="s">
        <v>47</v>
      </c>
      <c r="S188" s="3" t="s">
        <v>53</v>
      </c>
      <c r="T188" s="3" t="s">
        <v>53</v>
      </c>
      <c r="U188" s="3" t="s">
        <v>53</v>
      </c>
      <c r="V188" s="4" t="s">
        <v>324</v>
      </c>
      <c r="W188" s="302">
        <f>'Industries data'!F54</f>
        <v>0.61338930356688581</v>
      </c>
    </row>
    <row r="189" spans="1:33" s="34" customFormat="1" ht="141.75" x14ac:dyDescent="0.25">
      <c r="A189" s="2"/>
      <c r="B189" s="2" t="s">
        <v>316</v>
      </c>
      <c r="C189" s="3" t="s">
        <v>316</v>
      </c>
      <c r="D189" s="3">
        <v>2014</v>
      </c>
      <c r="E189" s="81" t="s">
        <v>326</v>
      </c>
      <c r="F189" s="3" t="s">
        <v>51</v>
      </c>
      <c r="G189" s="3" t="s">
        <v>256</v>
      </c>
      <c r="H189" s="3" t="s">
        <v>47</v>
      </c>
      <c r="I189" s="3" t="s">
        <v>113</v>
      </c>
      <c r="J189" s="3" t="s">
        <v>257</v>
      </c>
      <c r="K189" s="3" t="s">
        <v>258</v>
      </c>
      <c r="L189" s="7" t="s">
        <v>107</v>
      </c>
      <c r="M189" s="3" t="s">
        <v>47</v>
      </c>
      <c r="N189" s="3" t="s">
        <v>81</v>
      </c>
      <c r="O189" s="3" t="s">
        <v>318</v>
      </c>
      <c r="P189" s="3" t="s">
        <v>88</v>
      </c>
      <c r="Q189" s="3" t="s">
        <v>56</v>
      </c>
      <c r="R189" s="3" t="s">
        <v>47</v>
      </c>
      <c r="S189" s="3" t="s">
        <v>53</v>
      </c>
      <c r="T189" s="3" t="s">
        <v>53</v>
      </c>
      <c r="U189" s="3" t="s">
        <v>53</v>
      </c>
      <c r="V189" s="4" t="s">
        <v>327</v>
      </c>
      <c r="W189" s="302">
        <f>'Industries data'!F55</f>
        <v>0.62591046965791897</v>
      </c>
    </row>
    <row r="190" spans="1:33" s="34" customFormat="1" ht="141.75" x14ac:dyDescent="0.25">
      <c r="A190" s="2"/>
      <c r="B190" s="2" t="s">
        <v>316</v>
      </c>
      <c r="C190" s="3" t="s">
        <v>316</v>
      </c>
      <c r="D190" s="3">
        <v>2013</v>
      </c>
      <c r="E190" s="81" t="s">
        <v>326</v>
      </c>
      <c r="F190" s="3" t="s">
        <v>51</v>
      </c>
      <c r="G190" s="3" t="s">
        <v>256</v>
      </c>
      <c r="H190" s="3" t="s">
        <v>47</v>
      </c>
      <c r="I190" s="3" t="s">
        <v>113</v>
      </c>
      <c r="J190" s="3" t="s">
        <v>257</v>
      </c>
      <c r="K190" s="3" t="s">
        <v>258</v>
      </c>
      <c r="L190" s="7" t="s">
        <v>107</v>
      </c>
      <c r="M190" s="3" t="s">
        <v>47</v>
      </c>
      <c r="N190" s="3" t="s">
        <v>81</v>
      </c>
      <c r="O190" s="3" t="s">
        <v>318</v>
      </c>
      <c r="P190" s="3" t="s">
        <v>88</v>
      </c>
      <c r="Q190" s="3" t="s">
        <v>56</v>
      </c>
      <c r="R190" s="3" t="s">
        <v>47</v>
      </c>
      <c r="S190" s="3" t="s">
        <v>53</v>
      </c>
      <c r="T190" s="3" t="s">
        <v>53</v>
      </c>
      <c r="U190" s="3" t="s">
        <v>53</v>
      </c>
      <c r="V190" s="4" t="s">
        <v>327</v>
      </c>
      <c r="W190" s="302">
        <f>'Industries data'!F56</f>
        <v>0.52287837341556764</v>
      </c>
    </row>
    <row r="191" spans="1:33" s="34" customFormat="1" ht="141.75" x14ac:dyDescent="0.25">
      <c r="A191" s="2"/>
      <c r="B191" s="2" t="s">
        <v>316</v>
      </c>
      <c r="C191" s="3" t="s">
        <v>316</v>
      </c>
      <c r="D191" s="3">
        <v>2012</v>
      </c>
      <c r="E191" s="81" t="s">
        <v>328</v>
      </c>
      <c r="F191" s="3" t="s">
        <v>51</v>
      </c>
      <c r="G191" s="3" t="s">
        <v>256</v>
      </c>
      <c r="H191" s="3" t="s">
        <v>47</v>
      </c>
      <c r="I191" s="3" t="s">
        <v>113</v>
      </c>
      <c r="J191" s="3" t="s">
        <v>257</v>
      </c>
      <c r="K191" s="3" t="s">
        <v>258</v>
      </c>
      <c r="L191" s="7" t="s">
        <v>107</v>
      </c>
      <c r="M191" s="3" t="s">
        <v>47</v>
      </c>
      <c r="N191" s="3" t="s">
        <v>81</v>
      </c>
      <c r="O191" s="3" t="s">
        <v>318</v>
      </c>
      <c r="P191" s="3" t="s">
        <v>88</v>
      </c>
      <c r="Q191" s="3" t="s">
        <v>56</v>
      </c>
      <c r="R191" s="3" t="s">
        <v>47</v>
      </c>
      <c r="S191" s="3" t="s">
        <v>53</v>
      </c>
      <c r="T191" s="3" t="s">
        <v>53</v>
      </c>
      <c r="U191" s="3" t="s">
        <v>53</v>
      </c>
      <c r="V191" s="4" t="s">
        <v>329</v>
      </c>
      <c r="W191" s="302">
        <f>'Industries data'!F57</f>
        <v>0.56480657100753895</v>
      </c>
    </row>
    <row r="192" spans="1:33" s="34" customFormat="1" ht="141.75" x14ac:dyDescent="0.25">
      <c r="A192" s="2"/>
      <c r="B192" s="2" t="s">
        <v>316</v>
      </c>
      <c r="C192" s="3" t="s">
        <v>316</v>
      </c>
      <c r="D192" s="3">
        <v>2011</v>
      </c>
      <c r="E192" s="81" t="s">
        <v>328</v>
      </c>
      <c r="F192" s="3" t="s">
        <v>51</v>
      </c>
      <c r="G192" s="3" t="s">
        <v>256</v>
      </c>
      <c r="H192" s="3" t="s">
        <v>47</v>
      </c>
      <c r="I192" s="3" t="s">
        <v>113</v>
      </c>
      <c r="J192" s="3" t="s">
        <v>257</v>
      </c>
      <c r="K192" s="3" t="s">
        <v>258</v>
      </c>
      <c r="L192" s="7" t="s">
        <v>107</v>
      </c>
      <c r="M192" s="3" t="s">
        <v>47</v>
      </c>
      <c r="N192" s="3" t="s">
        <v>81</v>
      </c>
      <c r="O192" s="3" t="s">
        <v>318</v>
      </c>
      <c r="P192" s="3" t="s">
        <v>88</v>
      </c>
      <c r="Q192" s="3" t="s">
        <v>56</v>
      </c>
      <c r="R192" s="3" t="s">
        <v>47</v>
      </c>
      <c r="S192" s="3" t="s">
        <v>53</v>
      </c>
      <c r="T192" s="3" t="s">
        <v>53</v>
      </c>
      <c r="U192" s="3" t="s">
        <v>53</v>
      </c>
      <c r="V192" s="4" t="s">
        <v>327</v>
      </c>
      <c r="W192" s="302">
        <f>'Industries data'!F58</f>
        <v>0.59609396066159226</v>
      </c>
    </row>
    <row r="193" spans="1:33" s="345" customFormat="1" x14ac:dyDescent="0.25">
      <c r="A193" s="326"/>
      <c r="C193" s="307"/>
      <c r="D193" s="307"/>
      <c r="E193" s="307"/>
      <c r="F193" s="307"/>
      <c r="G193" s="307"/>
      <c r="H193" s="307"/>
      <c r="I193" s="307"/>
      <c r="J193" s="307"/>
      <c r="K193" s="307"/>
      <c r="L193" s="307"/>
      <c r="M193" s="307"/>
      <c r="N193" s="307"/>
      <c r="O193" s="307"/>
      <c r="P193" s="307"/>
      <c r="Q193" s="307"/>
      <c r="R193" s="307"/>
      <c r="S193" s="307"/>
      <c r="T193" s="307"/>
      <c r="U193" s="307"/>
      <c r="W193" s="339"/>
    </row>
    <row r="194" spans="1:33" s="34" customFormat="1" ht="110.25" x14ac:dyDescent="0.25">
      <c r="A194" s="2"/>
      <c r="B194" s="2" t="s">
        <v>330</v>
      </c>
      <c r="C194" s="21" t="s">
        <v>331</v>
      </c>
      <c r="D194" s="7">
        <v>2013</v>
      </c>
      <c r="E194" s="81" t="s">
        <v>332</v>
      </c>
      <c r="F194" s="21" t="s">
        <v>57</v>
      </c>
      <c r="G194" s="7" t="s">
        <v>74</v>
      </c>
      <c r="H194" s="7" t="s">
        <v>47</v>
      </c>
      <c r="I194" s="7" t="s">
        <v>113</v>
      </c>
      <c r="J194" s="7" t="s">
        <v>74</v>
      </c>
      <c r="K194" s="7">
        <v>300</v>
      </c>
      <c r="L194" s="7" t="s">
        <v>113</v>
      </c>
      <c r="M194" s="7" t="s">
        <v>77</v>
      </c>
      <c r="N194" s="7" t="s">
        <v>53</v>
      </c>
      <c r="O194" s="83" t="s">
        <v>74</v>
      </c>
      <c r="P194" s="7" t="s">
        <v>88</v>
      </c>
      <c r="Q194" s="7" t="s">
        <v>74</v>
      </c>
      <c r="R194" s="35" t="s">
        <v>74</v>
      </c>
      <c r="S194" s="35" t="s">
        <v>53</v>
      </c>
      <c r="T194" s="7" t="s">
        <v>53</v>
      </c>
      <c r="U194" s="7" t="s">
        <v>47</v>
      </c>
      <c r="V194" s="4" t="s">
        <v>333</v>
      </c>
      <c r="W194" s="302">
        <f>'ITRS data'!BC21</f>
        <v>0.22</v>
      </c>
      <c r="X194" s="78"/>
      <c r="Y194" s="78"/>
      <c r="Z194" s="2"/>
      <c r="AA194" s="2"/>
      <c r="AB194" s="2"/>
      <c r="AC194" s="2"/>
      <c r="AD194" s="2"/>
      <c r="AE194" s="2"/>
      <c r="AF194" s="2"/>
      <c r="AG194" s="2"/>
    </row>
    <row r="195" spans="1:33" s="34" customFormat="1" ht="110.25" x14ac:dyDescent="0.25">
      <c r="A195" s="2"/>
      <c r="B195" s="2" t="s">
        <v>330</v>
      </c>
      <c r="C195" s="21" t="s">
        <v>331</v>
      </c>
      <c r="D195" s="7">
        <v>2014</v>
      </c>
      <c r="E195" s="81" t="s">
        <v>332</v>
      </c>
      <c r="F195" s="21" t="s">
        <v>57</v>
      </c>
      <c r="G195" s="7" t="s">
        <v>74</v>
      </c>
      <c r="H195" s="7" t="s">
        <v>47</v>
      </c>
      <c r="I195" s="7" t="s">
        <v>113</v>
      </c>
      <c r="J195" s="7" t="s">
        <v>74</v>
      </c>
      <c r="K195" s="7">
        <v>300</v>
      </c>
      <c r="L195" s="7" t="s">
        <v>113</v>
      </c>
      <c r="M195" s="7" t="s">
        <v>77</v>
      </c>
      <c r="N195" s="7" t="s">
        <v>53</v>
      </c>
      <c r="O195" s="83" t="s">
        <v>74</v>
      </c>
      <c r="P195" s="7" t="s">
        <v>88</v>
      </c>
      <c r="Q195" s="7" t="s">
        <v>74</v>
      </c>
      <c r="R195" s="35" t="s">
        <v>74</v>
      </c>
      <c r="S195" s="35" t="s">
        <v>53</v>
      </c>
      <c r="T195" s="7" t="s">
        <v>53</v>
      </c>
      <c r="U195" s="7" t="s">
        <v>47</v>
      </c>
      <c r="V195" s="4" t="s">
        <v>333</v>
      </c>
      <c r="W195" s="302">
        <f>'ITRS data'!BC22</f>
        <v>0.22</v>
      </c>
      <c r="X195" s="78"/>
      <c r="Y195" s="78"/>
      <c r="Z195" s="2"/>
      <c r="AA195" s="2"/>
      <c r="AB195" s="2"/>
      <c r="AC195" s="2"/>
      <c r="AD195" s="2"/>
      <c r="AE195" s="2"/>
      <c r="AF195" s="2"/>
      <c r="AG195" s="2"/>
    </row>
    <row r="196" spans="1:33" s="34" customFormat="1" ht="110.25" x14ac:dyDescent="0.25">
      <c r="A196" s="2"/>
      <c r="B196" s="2" t="s">
        <v>330</v>
      </c>
      <c r="C196" s="21" t="s">
        <v>331</v>
      </c>
      <c r="D196" s="7">
        <v>2015</v>
      </c>
      <c r="E196" s="81" t="s">
        <v>332</v>
      </c>
      <c r="F196" s="21" t="s">
        <v>57</v>
      </c>
      <c r="G196" s="7" t="s">
        <v>74</v>
      </c>
      <c r="H196" s="7" t="s">
        <v>47</v>
      </c>
      <c r="I196" s="7" t="s">
        <v>113</v>
      </c>
      <c r="J196" s="7" t="s">
        <v>74</v>
      </c>
      <c r="K196" s="7">
        <v>300</v>
      </c>
      <c r="L196" s="7" t="s">
        <v>113</v>
      </c>
      <c r="M196" s="7" t="s">
        <v>77</v>
      </c>
      <c r="N196" s="7" t="s">
        <v>53</v>
      </c>
      <c r="O196" s="83" t="s">
        <v>74</v>
      </c>
      <c r="P196" s="7" t="s">
        <v>88</v>
      </c>
      <c r="Q196" s="7" t="s">
        <v>74</v>
      </c>
      <c r="R196" s="35" t="s">
        <v>74</v>
      </c>
      <c r="S196" s="35" t="s">
        <v>53</v>
      </c>
      <c r="T196" s="7" t="s">
        <v>53</v>
      </c>
      <c r="U196" s="7" t="s">
        <v>47</v>
      </c>
      <c r="V196" s="4" t="s">
        <v>333</v>
      </c>
      <c r="W196" s="302">
        <f>'ITRS data'!BC23</f>
        <v>0.22</v>
      </c>
      <c r="X196" s="78"/>
      <c r="Y196" s="78"/>
      <c r="Z196" s="2"/>
      <c r="AA196" s="2"/>
      <c r="AB196" s="2"/>
      <c r="AC196" s="2"/>
      <c r="AD196" s="2"/>
      <c r="AE196" s="2"/>
      <c r="AF196" s="2"/>
      <c r="AG196" s="2"/>
    </row>
    <row r="197" spans="1:33" s="34" customFormat="1" ht="110.25" x14ac:dyDescent="0.25">
      <c r="A197" s="2"/>
      <c r="B197" s="2" t="s">
        <v>330</v>
      </c>
      <c r="C197" s="21" t="s">
        <v>331</v>
      </c>
      <c r="D197" s="7">
        <v>2016</v>
      </c>
      <c r="E197" s="81" t="s">
        <v>332</v>
      </c>
      <c r="F197" s="21" t="s">
        <v>57</v>
      </c>
      <c r="G197" s="7" t="s">
        <v>74</v>
      </c>
      <c r="H197" s="7" t="s">
        <v>47</v>
      </c>
      <c r="I197" s="7" t="s">
        <v>113</v>
      </c>
      <c r="J197" s="7" t="s">
        <v>74</v>
      </c>
      <c r="K197" s="7">
        <v>300</v>
      </c>
      <c r="L197" s="7" t="s">
        <v>113</v>
      </c>
      <c r="M197" s="7" t="s">
        <v>77</v>
      </c>
      <c r="N197" s="7" t="s">
        <v>53</v>
      </c>
      <c r="O197" s="83" t="s">
        <v>74</v>
      </c>
      <c r="P197" s="7" t="s">
        <v>88</v>
      </c>
      <c r="Q197" s="7" t="s">
        <v>74</v>
      </c>
      <c r="R197" s="35" t="s">
        <v>74</v>
      </c>
      <c r="S197" s="35" t="s">
        <v>53</v>
      </c>
      <c r="T197" s="7" t="s">
        <v>53</v>
      </c>
      <c r="U197" s="7" t="s">
        <v>47</v>
      </c>
      <c r="V197" s="4" t="s">
        <v>333</v>
      </c>
      <c r="W197" s="302">
        <f>'ITRS data'!BC24</f>
        <v>0.22</v>
      </c>
      <c r="X197" s="78"/>
      <c r="Y197" s="78"/>
      <c r="Z197" s="2"/>
      <c r="AA197" s="2"/>
      <c r="AB197" s="2"/>
      <c r="AC197" s="2"/>
      <c r="AD197" s="2"/>
      <c r="AE197" s="2"/>
      <c r="AF197" s="2"/>
      <c r="AG197" s="2"/>
    </row>
    <row r="198" spans="1:33" s="34" customFormat="1" ht="110.25" x14ac:dyDescent="0.25">
      <c r="A198" s="2"/>
      <c r="B198" s="2" t="s">
        <v>330</v>
      </c>
      <c r="C198" s="21" t="s">
        <v>331</v>
      </c>
      <c r="D198" s="7">
        <v>2017</v>
      </c>
      <c r="E198" s="81" t="s">
        <v>332</v>
      </c>
      <c r="F198" s="21" t="s">
        <v>57</v>
      </c>
      <c r="G198" s="7" t="s">
        <v>74</v>
      </c>
      <c r="H198" s="7" t="s">
        <v>47</v>
      </c>
      <c r="I198" s="7" t="s">
        <v>113</v>
      </c>
      <c r="J198" s="7" t="s">
        <v>74</v>
      </c>
      <c r="K198" s="7">
        <v>300</v>
      </c>
      <c r="L198" s="7" t="s">
        <v>113</v>
      </c>
      <c r="M198" s="7" t="s">
        <v>77</v>
      </c>
      <c r="N198" s="7" t="s">
        <v>53</v>
      </c>
      <c r="O198" s="83" t="s">
        <v>74</v>
      </c>
      <c r="P198" s="7" t="s">
        <v>88</v>
      </c>
      <c r="Q198" s="7" t="s">
        <v>74</v>
      </c>
      <c r="R198" s="35" t="s">
        <v>74</v>
      </c>
      <c r="S198" s="35" t="s">
        <v>53</v>
      </c>
      <c r="T198" s="7" t="s">
        <v>53</v>
      </c>
      <c r="U198" s="7" t="s">
        <v>47</v>
      </c>
      <c r="V198" s="4" t="s">
        <v>333</v>
      </c>
      <c r="W198" s="302">
        <f>'ITRS data'!BC25</f>
        <v>0.22</v>
      </c>
      <c r="X198" s="78"/>
      <c r="Y198" s="78"/>
      <c r="Z198" s="2"/>
      <c r="AA198" s="2"/>
      <c r="AB198" s="2"/>
      <c r="AC198" s="2"/>
      <c r="AD198" s="2"/>
      <c r="AE198" s="2"/>
      <c r="AF198" s="2"/>
      <c r="AG198" s="2"/>
    </row>
    <row r="199" spans="1:33" s="34" customFormat="1" ht="110.25" x14ac:dyDescent="0.25">
      <c r="A199" s="2"/>
      <c r="B199" s="2" t="s">
        <v>330</v>
      </c>
      <c r="C199" s="21" t="s">
        <v>331</v>
      </c>
      <c r="D199" s="7">
        <v>2018</v>
      </c>
      <c r="E199" s="81" t="s">
        <v>332</v>
      </c>
      <c r="F199" s="21" t="s">
        <v>57</v>
      </c>
      <c r="G199" s="7" t="s">
        <v>74</v>
      </c>
      <c r="H199" s="7" t="s">
        <v>47</v>
      </c>
      <c r="I199" s="7" t="s">
        <v>113</v>
      </c>
      <c r="J199" s="7" t="s">
        <v>74</v>
      </c>
      <c r="K199" s="7">
        <v>300</v>
      </c>
      <c r="L199" s="7" t="s">
        <v>113</v>
      </c>
      <c r="M199" s="7" t="s">
        <v>77</v>
      </c>
      <c r="N199" s="7" t="s">
        <v>53</v>
      </c>
      <c r="O199" s="83" t="s">
        <v>74</v>
      </c>
      <c r="P199" s="7" t="s">
        <v>88</v>
      </c>
      <c r="Q199" s="7" t="s">
        <v>74</v>
      </c>
      <c r="R199" s="35" t="s">
        <v>74</v>
      </c>
      <c r="S199" s="35" t="s">
        <v>53</v>
      </c>
      <c r="T199" s="7" t="s">
        <v>53</v>
      </c>
      <c r="U199" s="7" t="s">
        <v>47</v>
      </c>
      <c r="V199" s="4" t="s">
        <v>333</v>
      </c>
      <c r="W199" s="302">
        <f>'ITRS data'!BC26</f>
        <v>0.22</v>
      </c>
      <c r="X199" s="78"/>
      <c r="Y199" s="78"/>
      <c r="Z199" s="2"/>
      <c r="AA199" s="2"/>
      <c r="AB199" s="2"/>
      <c r="AC199" s="2"/>
      <c r="AD199" s="2"/>
      <c r="AE199" s="2"/>
      <c r="AF199" s="2"/>
      <c r="AG199" s="2"/>
    </row>
    <row r="200" spans="1:33" s="34" customFormat="1" ht="110.25" x14ac:dyDescent="0.25">
      <c r="A200" s="2"/>
      <c r="B200" s="2" t="s">
        <v>330</v>
      </c>
      <c r="C200" s="21" t="s">
        <v>331</v>
      </c>
      <c r="D200" s="7">
        <v>2019</v>
      </c>
      <c r="E200" s="81" t="s">
        <v>332</v>
      </c>
      <c r="F200" s="21" t="s">
        <v>57</v>
      </c>
      <c r="G200" s="7" t="s">
        <v>74</v>
      </c>
      <c r="H200" s="7" t="s">
        <v>47</v>
      </c>
      <c r="I200" s="7" t="s">
        <v>113</v>
      </c>
      <c r="J200" s="7" t="s">
        <v>74</v>
      </c>
      <c r="K200" s="7">
        <v>300</v>
      </c>
      <c r="L200" s="7" t="s">
        <v>113</v>
      </c>
      <c r="M200" s="7" t="s">
        <v>77</v>
      </c>
      <c r="N200" s="7" t="s">
        <v>53</v>
      </c>
      <c r="O200" s="83" t="s">
        <v>74</v>
      </c>
      <c r="P200" s="7" t="s">
        <v>88</v>
      </c>
      <c r="Q200" s="7" t="s">
        <v>74</v>
      </c>
      <c r="R200" s="35" t="s">
        <v>74</v>
      </c>
      <c r="S200" s="35" t="s">
        <v>53</v>
      </c>
      <c r="T200" s="7" t="s">
        <v>53</v>
      </c>
      <c r="U200" s="7" t="s">
        <v>47</v>
      </c>
      <c r="V200" s="4" t="s">
        <v>333</v>
      </c>
      <c r="W200" s="302">
        <f>'ITRS data'!BC27</f>
        <v>0.22</v>
      </c>
      <c r="X200" s="78"/>
      <c r="Y200" s="78"/>
      <c r="Z200" s="2"/>
      <c r="AA200" s="2"/>
      <c r="AB200" s="2"/>
      <c r="AC200" s="2"/>
      <c r="AD200" s="2"/>
      <c r="AE200" s="2"/>
      <c r="AF200" s="2"/>
      <c r="AG200" s="2"/>
    </row>
    <row r="201" spans="1:33" s="34" customFormat="1" ht="110.25" x14ac:dyDescent="0.25">
      <c r="A201" s="2"/>
      <c r="B201" s="2" t="s">
        <v>330</v>
      </c>
      <c r="C201" s="21" t="s">
        <v>331</v>
      </c>
      <c r="D201" s="7">
        <v>2020</v>
      </c>
      <c r="E201" s="81" t="s">
        <v>332</v>
      </c>
      <c r="F201" s="21" t="s">
        <v>57</v>
      </c>
      <c r="G201" s="7" t="s">
        <v>74</v>
      </c>
      <c r="H201" s="7" t="s">
        <v>47</v>
      </c>
      <c r="I201" s="7" t="s">
        <v>113</v>
      </c>
      <c r="J201" s="7" t="s">
        <v>74</v>
      </c>
      <c r="K201" s="7">
        <v>300</v>
      </c>
      <c r="L201" s="7" t="s">
        <v>113</v>
      </c>
      <c r="M201" s="7" t="s">
        <v>77</v>
      </c>
      <c r="N201" s="7" t="s">
        <v>53</v>
      </c>
      <c r="O201" s="83" t="s">
        <v>74</v>
      </c>
      <c r="P201" s="7" t="s">
        <v>88</v>
      </c>
      <c r="Q201" s="7" t="s">
        <v>74</v>
      </c>
      <c r="R201" s="35" t="s">
        <v>74</v>
      </c>
      <c r="S201" s="35" t="s">
        <v>53</v>
      </c>
      <c r="T201" s="7" t="s">
        <v>53</v>
      </c>
      <c r="U201" s="7" t="s">
        <v>47</v>
      </c>
      <c r="V201" s="4" t="s">
        <v>333</v>
      </c>
      <c r="W201" s="302">
        <f>'ITRS data'!BC28</f>
        <v>0.22</v>
      </c>
      <c r="X201" s="78"/>
      <c r="Y201" s="78"/>
      <c r="Z201" s="2"/>
      <c r="AA201" s="2"/>
      <c r="AB201" s="2"/>
      <c r="AC201" s="2"/>
      <c r="AD201" s="2"/>
      <c r="AE201" s="2"/>
      <c r="AF201" s="2"/>
      <c r="AG201" s="2"/>
    </row>
    <row r="202" spans="1:33" s="345" customFormat="1" x14ac:dyDescent="0.25">
      <c r="A202" s="326"/>
      <c r="C202" s="307"/>
      <c r="D202" s="307"/>
      <c r="E202" s="307"/>
      <c r="F202" s="307"/>
      <c r="G202" s="307"/>
      <c r="H202" s="307"/>
      <c r="I202" s="307"/>
      <c r="J202" s="307"/>
      <c r="K202" s="307"/>
      <c r="L202" s="307"/>
      <c r="M202" s="307"/>
      <c r="N202" s="307"/>
      <c r="O202" s="307"/>
      <c r="P202" s="307"/>
      <c r="Q202" s="307"/>
      <c r="R202" s="307"/>
      <c r="S202" s="307"/>
      <c r="T202" s="307"/>
      <c r="U202" s="307"/>
      <c r="W202" s="339"/>
    </row>
    <row r="203" spans="1:33" s="34" customFormat="1" ht="157.5" x14ac:dyDescent="0.25">
      <c r="A203" s="2"/>
      <c r="B203" s="2" t="s">
        <v>334</v>
      </c>
      <c r="C203" s="3" t="s">
        <v>335</v>
      </c>
      <c r="D203" s="3">
        <v>2022</v>
      </c>
      <c r="E203" s="81" t="s">
        <v>336</v>
      </c>
      <c r="F203" s="3" t="s">
        <v>62</v>
      </c>
      <c r="G203" s="3" t="s">
        <v>46</v>
      </c>
      <c r="H203" s="3" t="s">
        <v>47</v>
      </c>
      <c r="I203" s="3" t="s">
        <v>47</v>
      </c>
      <c r="J203" s="3">
        <f>'GaBi data'!B8</f>
        <v>350</v>
      </c>
      <c r="K203" s="7">
        <v>300</v>
      </c>
      <c r="L203" s="3" t="s">
        <v>47</v>
      </c>
      <c r="M203" s="3" t="s">
        <v>77</v>
      </c>
      <c r="N203" s="3" t="s">
        <v>47</v>
      </c>
      <c r="O203" s="3" t="s">
        <v>337</v>
      </c>
      <c r="P203" s="3" t="s">
        <v>88</v>
      </c>
      <c r="Q203" s="3" t="s">
        <v>338</v>
      </c>
      <c r="R203" s="3" t="s">
        <v>58</v>
      </c>
      <c r="S203" s="3" t="s">
        <v>47</v>
      </c>
      <c r="T203" s="3" t="s">
        <v>81</v>
      </c>
      <c r="U203" s="3" t="s">
        <v>47</v>
      </c>
      <c r="V203" s="4" t="s">
        <v>339</v>
      </c>
      <c r="W203" s="302" t="str">
        <f>'GaBi data'!D8</f>
        <v>NA</v>
      </c>
      <c r="X203" s="78"/>
      <c r="Y203" s="78"/>
      <c r="Z203" s="2"/>
      <c r="AA203" s="2"/>
      <c r="AB203" s="2"/>
      <c r="AC203" s="2"/>
      <c r="AD203" s="2"/>
      <c r="AE203" s="2"/>
      <c r="AF203" s="2"/>
      <c r="AG203" s="2"/>
    </row>
    <row r="204" spans="1:33" s="34" customFormat="1" ht="157.5" x14ac:dyDescent="0.25">
      <c r="A204" s="2"/>
      <c r="B204" s="2" t="s">
        <v>334</v>
      </c>
      <c r="C204" s="3" t="s">
        <v>335</v>
      </c>
      <c r="D204" s="3">
        <v>2022</v>
      </c>
      <c r="E204" s="81" t="s">
        <v>336</v>
      </c>
      <c r="F204" s="3" t="s">
        <v>62</v>
      </c>
      <c r="G204" s="3" t="s">
        <v>46</v>
      </c>
      <c r="H204" s="3" t="s">
        <v>47</v>
      </c>
      <c r="I204" s="3" t="s">
        <v>47</v>
      </c>
      <c r="J204" s="3">
        <f>'GaBi data'!B9</f>
        <v>250</v>
      </c>
      <c r="K204" s="7">
        <v>300</v>
      </c>
      <c r="L204" s="3" t="s">
        <v>47</v>
      </c>
      <c r="M204" s="3" t="s">
        <v>77</v>
      </c>
      <c r="N204" s="3" t="s">
        <v>47</v>
      </c>
      <c r="O204" s="3" t="s">
        <v>337</v>
      </c>
      <c r="P204" s="3" t="s">
        <v>88</v>
      </c>
      <c r="Q204" s="3" t="s">
        <v>338</v>
      </c>
      <c r="R204" s="3" t="s">
        <v>58</v>
      </c>
      <c r="S204" s="3" t="s">
        <v>47</v>
      </c>
      <c r="T204" s="3" t="s">
        <v>81</v>
      </c>
      <c r="U204" s="3" t="s">
        <v>47</v>
      </c>
      <c r="V204" s="4" t="s">
        <v>339</v>
      </c>
      <c r="W204" s="302" t="str">
        <f>'GaBi data'!D9</f>
        <v>NA</v>
      </c>
      <c r="X204" s="78"/>
      <c r="Y204" s="78"/>
      <c r="Z204" s="2"/>
      <c r="AA204" s="2"/>
      <c r="AB204" s="2"/>
      <c r="AC204" s="2"/>
      <c r="AD204" s="2"/>
      <c r="AE204" s="2"/>
      <c r="AF204" s="2"/>
      <c r="AG204" s="2"/>
    </row>
    <row r="205" spans="1:33" s="34" customFormat="1" ht="157.5" x14ac:dyDescent="0.25">
      <c r="A205" s="2"/>
      <c r="B205" s="2" t="s">
        <v>334</v>
      </c>
      <c r="C205" s="3" t="s">
        <v>335</v>
      </c>
      <c r="D205" s="3">
        <v>2022</v>
      </c>
      <c r="E205" s="81" t="s">
        <v>336</v>
      </c>
      <c r="F205" s="3" t="s">
        <v>62</v>
      </c>
      <c r="G205" s="3" t="s">
        <v>46</v>
      </c>
      <c r="H205" s="3" t="s">
        <v>47</v>
      </c>
      <c r="I205" s="3" t="s">
        <v>47</v>
      </c>
      <c r="J205" s="3">
        <f>'GaBi data'!B10</f>
        <v>180</v>
      </c>
      <c r="K205" s="7">
        <v>300</v>
      </c>
      <c r="L205" s="3" t="s">
        <v>47</v>
      </c>
      <c r="M205" s="3" t="s">
        <v>77</v>
      </c>
      <c r="N205" s="3" t="s">
        <v>47</v>
      </c>
      <c r="O205" s="3" t="s">
        <v>337</v>
      </c>
      <c r="P205" s="3" t="s">
        <v>88</v>
      </c>
      <c r="Q205" s="3" t="s">
        <v>338</v>
      </c>
      <c r="R205" s="3" t="s">
        <v>58</v>
      </c>
      <c r="S205" s="3" t="s">
        <v>47</v>
      </c>
      <c r="T205" s="3" t="s">
        <v>81</v>
      </c>
      <c r="U205" s="3" t="s">
        <v>47</v>
      </c>
      <c r="V205" s="4" t="s">
        <v>339</v>
      </c>
      <c r="W205" s="302" t="str">
        <f>'GaBi data'!D10</f>
        <v>NA</v>
      </c>
      <c r="X205" s="78"/>
      <c r="Y205" s="78"/>
      <c r="Z205" s="2"/>
      <c r="AA205" s="2"/>
      <c r="AB205" s="2"/>
      <c r="AC205" s="2"/>
      <c r="AD205" s="2"/>
      <c r="AE205" s="2"/>
      <c r="AF205" s="2"/>
      <c r="AG205" s="2"/>
    </row>
    <row r="206" spans="1:33" s="34" customFormat="1" ht="157.5" x14ac:dyDescent="0.25">
      <c r="A206" s="2"/>
      <c r="B206" s="2" t="s">
        <v>334</v>
      </c>
      <c r="C206" s="3" t="s">
        <v>335</v>
      </c>
      <c r="D206" s="3">
        <v>2022</v>
      </c>
      <c r="E206" s="81" t="s">
        <v>336</v>
      </c>
      <c r="F206" s="3" t="s">
        <v>62</v>
      </c>
      <c r="G206" s="3" t="s">
        <v>46</v>
      </c>
      <c r="H206" s="3" t="s">
        <v>47</v>
      </c>
      <c r="I206" s="3" t="s">
        <v>47</v>
      </c>
      <c r="J206" s="3">
        <f>'GaBi data'!B11</f>
        <v>130</v>
      </c>
      <c r="K206" s="7">
        <v>300</v>
      </c>
      <c r="L206" s="3" t="s">
        <v>47</v>
      </c>
      <c r="M206" s="3" t="s">
        <v>77</v>
      </c>
      <c r="N206" s="3" t="s">
        <v>47</v>
      </c>
      <c r="O206" s="3" t="s">
        <v>337</v>
      </c>
      <c r="P206" s="3" t="s">
        <v>88</v>
      </c>
      <c r="Q206" s="3" t="s">
        <v>338</v>
      </c>
      <c r="R206" s="3" t="s">
        <v>58</v>
      </c>
      <c r="S206" s="3" t="s">
        <v>47</v>
      </c>
      <c r="T206" s="3" t="s">
        <v>81</v>
      </c>
      <c r="U206" s="3" t="s">
        <v>47</v>
      </c>
      <c r="V206" s="4" t="s">
        <v>339</v>
      </c>
      <c r="W206" s="302" t="str">
        <f>'GaBi data'!D11</f>
        <v>NA</v>
      </c>
      <c r="X206" s="78"/>
      <c r="Y206" s="78"/>
      <c r="Z206" s="2"/>
      <c r="AA206" s="2"/>
      <c r="AB206" s="2"/>
      <c r="AC206" s="2"/>
      <c r="AD206" s="2"/>
      <c r="AE206" s="2"/>
      <c r="AF206" s="2"/>
      <c r="AG206" s="2"/>
    </row>
    <row r="207" spans="1:33" s="34" customFormat="1" ht="157.5" x14ac:dyDescent="0.25">
      <c r="A207" s="2"/>
      <c r="B207" s="2" t="s">
        <v>334</v>
      </c>
      <c r="C207" s="3" t="s">
        <v>335</v>
      </c>
      <c r="D207" s="3">
        <v>2022</v>
      </c>
      <c r="E207" s="81" t="s">
        <v>336</v>
      </c>
      <c r="F207" s="3" t="s">
        <v>62</v>
      </c>
      <c r="G207" s="3" t="s">
        <v>46</v>
      </c>
      <c r="H207" s="3" t="s">
        <v>47</v>
      </c>
      <c r="I207" s="3" t="s">
        <v>47</v>
      </c>
      <c r="J207" s="3">
        <f>'GaBi data'!B12</f>
        <v>90</v>
      </c>
      <c r="K207" s="7">
        <v>300</v>
      </c>
      <c r="L207" s="3" t="s">
        <v>47</v>
      </c>
      <c r="M207" s="3" t="s">
        <v>77</v>
      </c>
      <c r="N207" s="3" t="s">
        <v>47</v>
      </c>
      <c r="O207" s="3" t="s">
        <v>337</v>
      </c>
      <c r="P207" s="3" t="s">
        <v>88</v>
      </c>
      <c r="Q207" s="3" t="s">
        <v>338</v>
      </c>
      <c r="R207" s="3" t="s">
        <v>58</v>
      </c>
      <c r="S207" s="3" t="s">
        <v>47</v>
      </c>
      <c r="T207" s="3" t="s">
        <v>81</v>
      </c>
      <c r="U207" s="3" t="s">
        <v>47</v>
      </c>
      <c r="V207" s="4" t="s">
        <v>339</v>
      </c>
      <c r="W207" s="302" t="str">
        <f>'GaBi data'!D12</f>
        <v>NA</v>
      </c>
      <c r="X207" s="78"/>
      <c r="Y207" s="78"/>
      <c r="Z207" s="2"/>
      <c r="AA207" s="2"/>
      <c r="AB207" s="2"/>
      <c r="AC207" s="2"/>
      <c r="AD207" s="2"/>
      <c r="AE207" s="2"/>
      <c r="AF207" s="2"/>
      <c r="AG207" s="2"/>
    </row>
    <row r="208" spans="1:33" s="34" customFormat="1" ht="157.5" x14ac:dyDescent="0.25">
      <c r="A208" s="2"/>
      <c r="B208" s="2" t="s">
        <v>334</v>
      </c>
      <c r="C208" s="3" t="s">
        <v>335</v>
      </c>
      <c r="D208" s="3">
        <v>2022</v>
      </c>
      <c r="E208" s="81" t="s">
        <v>336</v>
      </c>
      <c r="F208" s="3" t="s">
        <v>62</v>
      </c>
      <c r="G208" s="3" t="s">
        <v>46</v>
      </c>
      <c r="H208" s="3" t="s">
        <v>47</v>
      </c>
      <c r="I208" s="3" t="s">
        <v>47</v>
      </c>
      <c r="J208" s="3">
        <f>'GaBi data'!B13</f>
        <v>65</v>
      </c>
      <c r="K208" s="7">
        <v>300</v>
      </c>
      <c r="L208" s="3" t="s">
        <v>47</v>
      </c>
      <c r="M208" s="3" t="s">
        <v>77</v>
      </c>
      <c r="N208" s="3" t="s">
        <v>47</v>
      </c>
      <c r="O208" s="3" t="s">
        <v>337</v>
      </c>
      <c r="P208" s="3" t="s">
        <v>88</v>
      </c>
      <c r="Q208" s="3" t="s">
        <v>338</v>
      </c>
      <c r="R208" s="3" t="s">
        <v>58</v>
      </c>
      <c r="S208" s="3" t="s">
        <v>47</v>
      </c>
      <c r="T208" s="3" t="s">
        <v>81</v>
      </c>
      <c r="U208" s="3" t="s">
        <v>47</v>
      </c>
      <c r="V208" s="4" t="s">
        <v>339</v>
      </c>
      <c r="W208" s="302" t="str">
        <f>'GaBi data'!D13</f>
        <v>NA</v>
      </c>
      <c r="X208" s="78"/>
      <c r="Y208" s="78"/>
      <c r="Z208" s="2"/>
      <c r="AA208" s="2"/>
      <c r="AB208" s="2"/>
      <c r="AC208" s="2"/>
      <c r="AD208" s="2"/>
      <c r="AE208" s="2"/>
      <c r="AF208" s="2"/>
      <c r="AG208" s="2"/>
    </row>
    <row r="209" spans="1:33" s="34" customFormat="1" ht="157.5" x14ac:dyDescent="0.25">
      <c r="A209" s="2"/>
      <c r="B209" s="2" t="s">
        <v>334</v>
      </c>
      <c r="C209" s="3" t="s">
        <v>335</v>
      </c>
      <c r="D209" s="3">
        <v>2022</v>
      </c>
      <c r="E209" s="81" t="s">
        <v>336</v>
      </c>
      <c r="F209" s="3" t="s">
        <v>62</v>
      </c>
      <c r="G209" s="3" t="s">
        <v>46</v>
      </c>
      <c r="H209" s="3" t="s">
        <v>47</v>
      </c>
      <c r="I209" s="3" t="s">
        <v>47</v>
      </c>
      <c r="J209" s="3">
        <f>'GaBi data'!B14</f>
        <v>45</v>
      </c>
      <c r="K209" s="7">
        <v>300</v>
      </c>
      <c r="L209" s="3" t="s">
        <v>47</v>
      </c>
      <c r="M209" s="3" t="s">
        <v>77</v>
      </c>
      <c r="N209" s="3" t="s">
        <v>47</v>
      </c>
      <c r="O209" s="3" t="s">
        <v>337</v>
      </c>
      <c r="P209" s="3" t="s">
        <v>88</v>
      </c>
      <c r="Q209" s="3" t="s">
        <v>338</v>
      </c>
      <c r="R209" s="3" t="s">
        <v>58</v>
      </c>
      <c r="S209" s="3" t="s">
        <v>47</v>
      </c>
      <c r="T209" s="3" t="s">
        <v>81</v>
      </c>
      <c r="U209" s="3" t="s">
        <v>47</v>
      </c>
      <c r="V209" s="4" t="s">
        <v>339</v>
      </c>
      <c r="W209" s="302" t="str">
        <f>'GaBi data'!D14</f>
        <v>NA</v>
      </c>
      <c r="X209" s="78"/>
      <c r="Y209" s="78"/>
      <c r="Z209" s="2"/>
      <c r="AA209" s="2"/>
      <c r="AB209" s="2"/>
      <c r="AC209" s="2"/>
      <c r="AD209" s="2"/>
      <c r="AE209" s="2"/>
      <c r="AF209" s="2"/>
      <c r="AG209" s="2"/>
    </row>
    <row r="210" spans="1:33" s="34" customFormat="1" ht="157.5" x14ac:dyDescent="0.25">
      <c r="A210" s="2"/>
      <c r="B210" s="2" t="s">
        <v>334</v>
      </c>
      <c r="C210" s="3" t="s">
        <v>335</v>
      </c>
      <c r="D210" s="3">
        <v>2022</v>
      </c>
      <c r="E210" s="81" t="s">
        <v>336</v>
      </c>
      <c r="F210" s="3" t="s">
        <v>62</v>
      </c>
      <c r="G210" s="3" t="s">
        <v>46</v>
      </c>
      <c r="H210" s="3" t="s">
        <v>47</v>
      </c>
      <c r="I210" s="3" t="s">
        <v>47</v>
      </c>
      <c r="J210" s="3">
        <f>'GaBi data'!B15</f>
        <v>32</v>
      </c>
      <c r="K210" s="7">
        <v>300</v>
      </c>
      <c r="L210" s="3" t="s">
        <v>47</v>
      </c>
      <c r="M210" s="3" t="s">
        <v>77</v>
      </c>
      <c r="N210" s="3" t="s">
        <v>47</v>
      </c>
      <c r="O210" s="3" t="s">
        <v>337</v>
      </c>
      <c r="P210" s="3" t="s">
        <v>88</v>
      </c>
      <c r="Q210" s="3" t="s">
        <v>338</v>
      </c>
      <c r="R210" s="3" t="s">
        <v>58</v>
      </c>
      <c r="S210" s="3" t="s">
        <v>47</v>
      </c>
      <c r="T210" s="3" t="s">
        <v>81</v>
      </c>
      <c r="U210" s="3" t="s">
        <v>47</v>
      </c>
      <c r="V210" s="4" t="s">
        <v>339</v>
      </c>
      <c r="W210" s="302" t="str">
        <f>'GaBi data'!D15</f>
        <v>NA</v>
      </c>
      <c r="X210" s="78"/>
      <c r="Y210" s="78"/>
      <c r="Z210" s="2"/>
      <c r="AA210" s="2"/>
      <c r="AB210" s="2"/>
      <c r="AC210" s="2"/>
      <c r="AD210" s="2"/>
      <c r="AE210" s="2"/>
      <c r="AF210" s="2"/>
      <c r="AG210" s="2"/>
    </row>
    <row r="211" spans="1:33" s="34" customFormat="1" ht="157.5" x14ac:dyDescent="0.25">
      <c r="A211" s="2"/>
      <c r="B211" s="2" t="s">
        <v>334</v>
      </c>
      <c r="C211" s="3" t="s">
        <v>335</v>
      </c>
      <c r="D211" s="3">
        <v>2022</v>
      </c>
      <c r="E211" s="81" t="s">
        <v>336</v>
      </c>
      <c r="F211" s="3" t="s">
        <v>62</v>
      </c>
      <c r="G211" s="3" t="s">
        <v>46</v>
      </c>
      <c r="H211" s="3" t="s">
        <v>47</v>
      </c>
      <c r="I211" s="3" t="s">
        <v>47</v>
      </c>
      <c r="J211" s="3">
        <f>'GaBi data'!B16</f>
        <v>22</v>
      </c>
      <c r="K211" s="7">
        <v>300</v>
      </c>
      <c r="L211" s="3" t="s">
        <v>47</v>
      </c>
      <c r="M211" s="3" t="s">
        <v>77</v>
      </c>
      <c r="N211" s="3" t="s">
        <v>47</v>
      </c>
      <c r="O211" s="3" t="s">
        <v>337</v>
      </c>
      <c r="P211" s="3" t="s">
        <v>88</v>
      </c>
      <c r="Q211" s="3" t="s">
        <v>338</v>
      </c>
      <c r="R211" s="3" t="s">
        <v>58</v>
      </c>
      <c r="S211" s="3" t="s">
        <v>47</v>
      </c>
      <c r="T211" s="3" t="s">
        <v>81</v>
      </c>
      <c r="U211" s="3" t="s">
        <v>47</v>
      </c>
      <c r="V211" s="4" t="s">
        <v>339</v>
      </c>
      <c r="W211" s="302" t="str">
        <f>'GaBi data'!D16</f>
        <v>NA</v>
      </c>
      <c r="X211" s="78"/>
      <c r="Y211" s="78"/>
      <c r="Z211" s="2"/>
      <c r="AA211" s="2"/>
      <c r="AB211" s="2"/>
      <c r="AC211" s="2"/>
      <c r="AD211" s="2"/>
      <c r="AE211" s="2"/>
      <c r="AF211" s="2"/>
      <c r="AG211" s="2"/>
    </row>
    <row r="212" spans="1:33" s="34" customFormat="1" ht="157.5" x14ac:dyDescent="0.25">
      <c r="A212" s="2"/>
      <c r="B212" s="2" t="s">
        <v>334</v>
      </c>
      <c r="C212" s="3" t="s">
        <v>335</v>
      </c>
      <c r="D212" s="3">
        <v>2022</v>
      </c>
      <c r="E212" s="81" t="s">
        <v>336</v>
      </c>
      <c r="F212" s="3" t="s">
        <v>62</v>
      </c>
      <c r="G212" s="3" t="s">
        <v>46</v>
      </c>
      <c r="H212" s="3" t="s">
        <v>47</v>
      </c>
      <c r="I212" s="3" t="s">
        <v>47</v>
      </c>
      <c r="J212" s="3">
        <f>'GaBi data'!B17</f>
        <v>14</v>
      </c>
      <c r="K212" s="7">
        <v>300</v>
      </c>
      <c r="L212" s="3" t="s">
        <v>47</v>
      </c>
      <c r="M212" s="3" t="s">
        <v>77</v>
      </c>
      <c r="N212" s="3" t="s">
        <v>47</v>
      </c>
      <c r="O212" s="3" t="s">
        <v>337</v>
      </c>
      <c r="P212" s="3" t="s">
        <v>88</v>
      </c>
      <c r="Q212" s="3" t="s">
        <v>338</v>
      </c>
      <c r="R212" s="3" t="s">
        <v>58</v>
      </c>
      <c r="S212" s="3" t="s">
        <v>47</v>
      </c>
      <c r="T212" s="3" t="s">
        <v>81</v>
      </c>
      <c r="U212" s="3" t="s">
        <v>47</v>
      </c>
      <c r="V212" s="4" t="s">
        <v>339</v>
      </c>
      <c r="W212" s="302" t="str">
        <f>'GaBi data'!D17</f>
        <v>NA</v>
      </c>
      <c r="X212" s="78"/>
      <c r="Y212" s="78"/>
      <c r="Z212" s="2"/>
      <c r="AA212" s="2"/>
      <c r="AB212" s="2"/>
      <c r="AC212" s="2"/>
      <c r="AD212" s="2"/>
      <c r="AE212" s="2"/>
      <c r="AF212" s="2"/>
      <c r="AG212" s="2"/>
    </row>
    <row r="213" spans="1:33" s="34" customFormat="1" ht="173.25" x14ac:dyDescent="0.25">
      <c r="A213" s="2"/>
      <c r="B213" s="2" t="s">
        <v>334</v>
      </c>
      <c r="C213" s="3" t="s">
        <v>335</v>
      </c>
      <c r="D213" s="3">
        <v>2022</v>
      </c>
      <c r="E213" s="81" t="s">
        <v>336</v>
      </c>
      <c r="F213" s="3" t="s">
        <v>62</v>
      </c>
      <c r="G213" s="3" t="s">
        <v>340</v>
      </c>
      <c r="H213" s="3" t="s">
        <v>47</v>
      </c>
      <c r="I213" s="3" t="s">
        <v>47</v>
      </c>
      <c r="J213" s="3">
        <f>'GaBi data'!B19</f>
        <v>57</v>
      </c>
      <c r="K213" s="7">
        <v>300</v>
      </c>
      <c r="L213" s="3" t="s">
        <v>47</v>
      </c>
      <c r="M213" s="3" t="s">
        <v>73</v>
      </c>
      <c r="N213" s="3" t="s">
        <v>47</v>
      </c>
      <c r="O213" s="3" t="s">
        <v>337</v>
      </c>
      <c r="P213" s="3" t="s">
        <v>88</v>
      </c>
      <c r="Q213" s="3" t="s">
        <v>341</v>
      </c>
      <c r="R213" s="3" t="s">
        <v>58</v>
      </c>
      <c r="S213" s="3" t="s">
        <v>47</v>
      </c>
      <c r="T213" s="3" t="s">
        <v>124</v>
      </c>
      <c r="U213" s="3" t="s">
        <v>47</v>
      </c>
      <c r="V213" s="4" t="s">
        <v>342</v>
      </c>
      <c r="W213" s="302" t="str">
        <f>'GaBi data'!D19</f>
        <v>NA</v>
      </c>
      <c r="X213" s="78"/>
      <c r="Y213" s="78"/>
      <c r="Z213" s="2"/>
      <c r="AA213" s="2"/>
      <c r="AB213" s="2"/>
      <c r="AC213" s="2"/>
      <c r="AD213" s="2"/>
      <c r="AE213" s="2"/>
      <c r="AF213" s="2"/>
      <c r="AG213" s="2"/>
    </row>
    <row r="214" spans="1:33" s="34" customFormat="1" ht="173.25" x14ac:dyDescent="0.25">
      <c r="A214" s="2"/>
      <c r="B214" s="2" t="s">
        <v>334</v>
      </c>
      <c r="C214" s="3" t="s">
        <v>335</v>
      </c>
      <c r="D214" s="3">
        <v>2022</v>
      </c>
      <c r="E214" s="81" t="s">
        <v>336</v>
      </c>
      <c r="F214" s="3" t="s">
        <v>62</v>
      </c>
      <c r="G214" s="3" t="s">
        <v>340</v>
      </c>
      <c r="H214" s="3" t="s">
        <v>47</v>
      </c>
      <c r="I214" s="3" t="s">
        <v>47</v>
      </c>
      <c r="J214" s="3">
        <f>'GaBi data'!B20</f>
        <v>45</v>
      </c>
      <c r="K214" s="7">
        <v>300</v>
      </c>
      <c r="L214" s="3" t="s">
        <v>47</v>
      </c>
      <c r="M214" s="3" t="s">
        <v>73</v>
      </c>
      <c r="N214" s="3" t="s">
        <v>47</v>
      </c>
      <c r="O214" s="3" t="s">
        <v>337</v>
      </c>
      <c r="P214" s="3" t="s">
        <v>88</v>
      </c>
      <c r="Q214" s="3" t="s">
        <v>341</v>
      </c>
      <c r="R214" s="3" t="s">
        <v>58</v>
      </c>
      <c r="S214" s="3" t="s">
        <v>47</v>
      </c>
      <c r="T214" s="3" t="s">
        <v>124</v>
      </c>
      <c r="U214" s="3" t="s">
        <v>47</v>
      </c>
      <c r="V214" s="4" t="s">
        <v>343</v>
      </c>
      <c r="W214" s="302" t="str">
        <f>'GaBi data'!D20</f>
        <v>NA</v>
      </c>
      <c r="X214" s="78"/>
      <c r="Y214" s="78"/>
      <c r="Z214" s="2"/>
      <c r="AA214" s="2"/>
      <c r="AB214" s="2"/>
      <c r="AC214" s="2"/>
      <c r="AD214" s="2"/>
      <c r="AE214" s="2"/>
      <c r="AF214" s="2"/>
      <c r="AG214" s="2"/>
    </row>
    <row r="215" spans="1:33" s="344" customFormat="1" x14ac:dyDescent="0.25">
      <c r="A215" s="327"/>
      <c r="B215" s="327"/>
      <c r="C215" s="329" t="s">
        <v>168</v>
      </c>
      <c r="D215" s="328"/>
      <c r="E215" s="354"/>
      <c r="F215" s="329" t="s">
        <v>168</v>
      </c>
      <c r="G215" s="328"/>
      <c r="H215" s="328"/>
      <c r="I215" s="328"/>
      <c r="J215" s="328"/>
      <c r="K215" s="328"/>
      <c r="L215" s="328"/>
      <c r="M215" s="328"/>
      <c r="N215" s="328"/>
      <c r="O215" s="328"/>
      <c r="P215" s="328"/>
      <c r="Q215" s="328"/>
      <c r="R215" s="328"/>
      <c r="S215" s="328"/>
      <c r="T215" s="328"/>
      <c r="U215" s="328"/>
      <c r="V215" s="330"/>
      <c r="W215" s="338"/>
      <c r="X215" s="331"/>
      <c r="Y215" s="331"/>
      <c r="Z215" s="327"/>
      <c r="AA215" s="327"/>
      <c r="AB215" s="327"/>
      <c r="AC215" s="327"/>
      <c r="AD215" s="327"/>
      <c r="AE215" s="327"/>
      <c r="AF215" s="327"/>
      <c r="AG215" s="327"/>
    </row>
    <row r="216" spans="1:33" s="34" customFormat="1" ht="31.5" x14ac:dyDescent="0.25">
      <c r="A216" s="2"/>
      <c r="B216" s="2" t="s">
        <v>344</v>
      </c>
      <c r="C216" s="3" t="s">
        <v>345</v>
      </c>
      <c r="D216" s="3">
        <v>2019</v>
      </c>
      <c r="E216" s="81" t="s">
        <v>346</v>
      </c>
      <c r="F216" s="3" t="s">
        <v>62</v>
      </c>
      <c r="G216" s="3" t="s">
        <v>58</v>
      </c>
      <c r="H216" s="3" t="s">
        <v>47</v>
      </c>
      <c r="I216" s="3" t="s">
        <v>53</v>
      </c>
      <c r="J216" s="3">
        <v>130</v>
      </c>
      <c r="K216" s="3">
        <v>300</v>
      </c>
      <c r="L216" s="3" t="s">
        <v>113</v>
      </c>
      <c r="M216" s="3" t="s">
        <v>53</v>
      </c>
      <c r="N216" s="3" t="s">
        <v>47</v>
      </c>
      <c r="O216" s="81" t="s">
        <v>65</v>
      </c>
      <c r="P216" s="3" t="s">
        <v>88</v>
      </c>
      <c r="Q216" s="7" t="s">
        <v>50</v>
      </c>
      <c r="R216" s="3" t="s">
        <v>58</v>
      </c>
      <c r="S216" s="3" t="s">
        <v>77</v>
      </c>
      <c r="T216" s="3" t="s">
        <v>53</v>
      </c>
      <c r="U216" s="3" t="s">
        <v>47</v>
      </c>
      <c r="V216" s="4" t="s">
        <v>347</v>
      </c>
      <c r="W216" s="302">
        <f>'EIME data'!D6</f>
        <v>1.61</v>
      </c>
      <c r="X216" s="78"/>
      <c r="Y216" s="78"/>
      <c r="Z216" s="2"/>
      <c r="AA216" s="2"/>
      <c r="AB216" s="2"/>
      <c r="AC216" s="2"/>
      <c r="AD216" s="2"/>
      <c r="AE216" s="2"/>
      <c r="AF216" s="2"/>
      <c r="AG216" s="2"/>
    </row>
    <row r="217" spans="1:33" s="34" customFormat="1" ht="31.5" x14ac:dyDescent="0.25">
      <c r="A217" s="2"/>
      <c r="B217" s="2" t="s">
        <v>344</v>
      </c>
      <c r="C217" s="3" t="s">
        <v>345</v>
      </c>
      <c r="D217" s="3">
        <v>2019</v>
      </c>
      <c r="E217" s="81" t="s">
        <v>346</v>
      </c>
      <c r="F217" s="3" t="s">
        <v>62</v>
      </c>
      <c r="G217" s="3" t="s">
        <v>58</v>
      </c>
      <c r="H217" s="3" t="s">
        <v>47</v>
      </c>
      <c r="I217" s="3" t="s">
        <v>53</v>
      </c>
      <c r="J217" s="3">
        <v>90</v>
      </c>
      <c r="K217" s="3">
        <v>300</v>
      </c>
      <c r="L217" s="3" t="s">
        <v>113</v>
      </c>
      <c r="M217" s="3" t="s">
        <v>53</v>
      </c>
      <c r="N217" s="3" t="s">
        <v>47</v>
      </c>
      <c r="O217" s="81" t="s">
        <v>65</v>
      </c>
      <c r="P217" s="3" t="s">
        <v>88</v>
      </c>
      <c r="Q217" s="7" t="s">
        <v>50</v>
      </c>
      <c r="R217" s="3" t="s">
        <v>58</v>
      </c>
      <c r="S217" s="3" t="s">
        <v>77</v>
      </c>
      <c r="T217" s="3" t="s">
        <v>53</v>
      </c>
      <c r="U217" s="3" t="s">
        <v>47</v>
      </c>
      <c r="V217" s="4" t="s">
        <v>347</v>
      </c>
      <c r="W217" s="302">
        <f>'EIME data'!D7</f>
        <v>2.12</v>
      </c>
      <c r="X217" s="78"/>
      <c r="Y217" s="78"/>
      <c r="Z217" s="2"/>
      <c r="AA217" s="2"/>
      <c r="AB217" s="2"/>
      <c r="AC217" s="2"/>
      <c r="AD217" s="2"/>
      <c r="AE217" s="2"/>
      <c r="AF217" s="2"/>
      <c r="AG217" s="2"/>
    </row>
    <row r="218" spans="1:33" s="34" customFormat="1" ht="31.5" x14ac:dyDescent="0.25">
      <c r="A218" s="2"/>
      <c r="B218" s="2" t="s">
        <v>344</v>
      </c>
      <c r="C218" s="3" t="s">
        <v>345</v>
      </c>
      <c r="D218" s="3">
        <v>2019</v>
      </c>
      <c r="E218" s="81" t="s">
        <v>346</v>
      </c>
      <c r="F218" s="3" t="s">
        <v>62</v>
      </c>
      <c r="G218" s="3" t="s">
        <v>58</v>
      </c>
      <c r="H218" s="3" t="s">
        <v>47</v>
      </c>
      <c r="I218" s="3" t="s">
        <v>53</v>
      </c>
      <c r="J218" s="3">
        <v>28</v>
      </c>
      <c r="K218" s="3">
        <v>300</v>
      </c>
      <c r="L218" s="3" t="s">
        <v>113</v>
      </c>
      <c r="M218" s="3" t="s">
        <v>53</v>
      </c>
      <c r="N218" s="3" t="s">
        <v>47</v>
      </c>
      <c r="O218" s="81" t="s">
        <v>65</v>
      </c>
      <c r="P218" s="3" t="s">
        <v>88</v>
      </c>
      <c r="Q218" s="7" t="s">
        <v>50</v>
      </c>
      <c r="R218" s="3" t="s">
        <v>58</v>
      </c>
      <c r="S218" s="3" t="s">
        <v>77</v>
      </c>
      <c r="T218" s="3" t="s">
        <v>53</v>
      </c>
      <c r="U218" s="3" t="s">
        <v>47</v>
      </c>
      <c r="V218" s="4" t="s">
        <v>347</v>
      </c>
      <c r="W218" s="302">
        <f>'EIME data'!D9</f>
        <v>2.73</v>
      </c>
      <c r="X218" s="78"/>
      <c r="Y218" s="78"/>
      <c r="Z218" s="2"/>
      <c r="AA218" s="2"/>
      <c r="AB218" s="2"/>
      <c r="AC218" s="2"/>
      <c r="AD218" s="2"/>
      <c r="AE218" s="2"/>
      <c r="AF218" s="2"/>
      <c r="AG218" s="2"/>
    </row>
    <row r="219" spans="1:33" s="34" customFormat="1" ht="31.5" x14ac:dyDescent="0.25">
      <c r="A219" s="2"/>
      <c r="B219" s="2" t="s">
        <v>344</v>
      </c>
      <c r="C219" s="3" t="s">
        <v>345</v>
      </c>
      <c r="D219" s="3">
        <v>2019</v>
      </c>
      <c r="E219" s="81" t="s">
        <v>346</v>
      </c>
      <c r="F219" s="3" t="s">
        <v>62</v>
      </c>
      <c r="G219" s="3" t="s">
        <v>58</v>
      </c>
      <c r="H219" s="3" t="s">
        <v>47</v>
      </c>
      <c r="I219" s="3" t="s">
        <v>53</v>
      </c>
      <c r="J219" s="3">
        <v>16</v>
      </c>
      <c r="K219" s="3">
        <v>300</v>
      </c>
      <c r="L219" s="3" t="s">
        <v>113</v>
      </c>
      <c r="M219" s="3" t="s">
        <v>53</v>
      </c>
      <c r="N219" s="3" t="s">
        <v>47</v>
      </c>
      <c r="O219" s="81" t="s">
        <v>65</v>
      </c>
      <c r="P219" s="3" t="s">
        <v>88</v>
      </c>
      <c r="Q219" s="7" t="s">
        <v>50</v>
      </c>
      <c r="R219" s="3" t="s">
        <v>58</v>
      </c>
      <c r="S219" s="3" t="s">
        <v>77</v>
      </c>
      <c r="T219" s="3" t="s">
        <v>53</v>
      </c>
      <c r="U219" s="3" t="s">
        <v>47</v>
      </c>
      <c r="V219" s="4" t="s">
        <v>347</v>
      </c>
      <c r="W219" s="302">
        <f>'EIME data'!D10</f>
        <v>3</v>
      </c>
      <c r="X219" s="78"/>
      <c r="Y219" s="78"/>
      <c r="Z219" s="2"/>
      <c r="AA219" s="2"/>
      <c r="AB219" s="2"/>
      <c r="AC219" s="2"/>
      <c r="AD219" s="2"/>
      <c r="AE219" s="2"/>
      <c r="AF219" s="2"/>
      <c r="AG219" s="2"/>
    </row>
    <row r="220" spans="1:33" s="34" customFormat="1" ht="31.5" x14ac:dyDescent="0.25">
      <c r="A220" s="323"/>
      <c r="B220" s="2" t="s">
        <v>344</v>
      </c>
      <c r="C220" s="3" t="s">
        <v>345</v>
      </c>
      <c r="D220" s="3">
        <v>2019</v>
      </c>
      <c r="E220" s="81" t="s">
        <v>346</v>
      </c>
      <c r="F220" s="3" t="s">
        <v>62</v>
      </c>
      <c r="G220" s="3" t="s">
        <v>58</v>
      </c>
      <c r="H220" s="3" t="s">
        <v>47</v>
      </c>
      <c r="I220" s="3" t="s">
        <v>53</v>
      </c>
      <c r="J220" s="3">
        <v>14</v>
      </c>
      <c r="K220" s="3">
        <v>300</v>
      </c>
      <c r="L220" s="3" t="s">
        <v>113</v>
      </c>
      <c r="M220" s="3" t="s">
        <v>53</v>
      </c>
      <c r="N220" s="3" t="s">
        <v>47</v>
      </c>
      <c r="O220" s="81" t="s">
        <v>65</v>
      </c>
      <c r="P220" s="3" t="s">
        <v>88</v>
      </c>
      <c r="Q220" s="7" t="s">
        <v>50</v>
      </c>
      <c r="R220" s="3" t="s">
        <v>58</v>
      </c>
      <c r="S220" s="3" t="s">
        <v>77</v>
      </c>
      <c r="T220" s="3" t="s">
        <v>53</v>
      </c>
      <c r="U220" s="3" t="s">
        <v>47</v>
      </c>
      <c r="V220" s="4" t="s">
        <v>347</v>
      </c>
      <c r="W220" s="302">
        <f>'EIME data'!D11</f>
        <v>3.16</v>
      </c>
      <c r="X220" s="78"/>
      <c r="Y220" s="78"/>
      <c r="Z220" s="2"/>
      <c r="AA220" s="2"/>
      <c r="AB220" s="2"/>
      <c r="AC220" s="2"/>
      <c r="AD220" s="2"/>
      <c r="AE220" s="2"/>
      <c r="AF220" s="2"/>
      <c r="AG220" s="2"/>
    </row>
    <row r="221" spans="1:33" s="34" customFormat="1" ht="31.5" x14ac:dyDescent="0.25">
      <c r="A221" s="250"/>
      <c r="B221" s="2" t="s">
        <v>344</v>
      </c>
      <c r="C221" s="3" t="s">
        <v>345</v>
      </c>
      <c r="D221" s="3">
        <v>2019</v>
      </c>
      <c r="E221" s="81" t="s">
        <v>346</v>
      </c>
      <c r="F221" s="3" t="s">
        <v>62</v>
      </c>
      <c r="G221" s="3" t="s">
        <v>58</v>
      </c>
      <c r="H221" s="3" t="s">
        <v>47</v>
      </c>
      <c r="I221" s="3" t="s">
        <v>53</v>
      </c>
      <c r="J221" s="3">
        <v>12</v>
      </c>
      <c r="K221" s="3">
        <v>300</v>
      </c>
      <c r="L221" s="3" t="s">
        <v>113</v>
      </c>
      <c r="M221" s="3" t="s">
        <v>53</v>
      </c>
      <c r="N221" s="3" t="s">
        <v>47</v>
      </c>
      <c r="O221" s="81" t="s">
        <v>65</v>
      </c>
      <c r="P221" s="3" t="s">
        <v>88</v>
      </c>
      <c r="Q221" s="7" t="s">
        <v>50</v>
      </c>
      <c r="R221" s="3" t="s">
        <v>58</v>
      </c>
      <c r="S221" s="3" t="s">
        <v>77</v>
      </c>
      <c r="T221" s="3" t="s">
        <v>53</v>
      </c>
      <c r="U221" s="3" t="s">
        <v>47</v>
      </c>
      <c r="V221" s="4" t="s">
        <v>347</v>
      </c>
      <c r="W221" s="302">
        <f>'EIME data'!D12</f>
        <v>3.48</v>
      </c>
      <c r="X221" s="78"/>
      <c r="Y221" s="78"/>
      <c r="Z221" s="2"/>
      <c r="AA221" s="2"/>
      <c r="AB221" s="2"/>
      <c r="AC221" s="2"/>
      <c r="AD221" s="2"/>
      <c r="AE221" s="2"/>
      <c r="AF221" s="2"/>
      <c r="AG221" s="2"/>
    </row>
    <row r="222" spans="1:33" s="34" customFormat="1" ht="31.5" x14ac:dyDescent="0.25">
      <c r="A222" s="2"/>
      <c r="B222" s="2" t="s">
        <v>344</v>
      </c>
      <c r="C222" s="3" t="s">
        <v>345</v>
      </c>
      <c r="D222" s="3">
        <v>2019</v>
      </c>
      <c r="E222" s="81" t="s">
        <v>346</v>
      </c>
      <c r="F222" s="3" t="s">
        <v>62</v>
      </c>
      <c r="G222" s="3" t="s">
        <v>58</v>
      </c>
      <c r="H222" s="3" t="s">
        <v>47</v>
      </c>
      <c r="I222" s="3" t="s">
        <v>53</v>
      </c>
      <c r="J222" s="3">
        <v>8</v>
      </c>
      <c r="K222" s="3">
        <v>300</v>
      </c>
      <c r="L222" s="3" t="s">
        <v>113</v>
      </c>
      <c r="M222" s="3" t="s">
        <v>53</v>
      </c>
      <c r="N222" s="3" t="s">
        <v>47</v>
      </c>
      <c r="O222" s="81" t="s">
        <v>65</v>
      </c>
      <c r="P222" s="3" t="s">
        <v>88</v>
      </c>
      <c r="Q222" s="7" t="s">
        <v>50</v>
      </c>
      <c r="R222" s="3" t="s">
        <v>58</v>
      </c>
      <c r="S222" s="3" t="s">
        <v>77</v>
      </c>
      <c r="T222" s="3" t="s">
        <v>53</v>
      </c>
      <c r="U222" s="3" t="s">
        <v>47</v>
      </c>
      <c r="V222" s="4" t="s">
        <v>347</v>
      </c>
      <c r="W222" s="302">
        <f>'EIME data'!D13</f>
        <v>3.81</v>
      </c>
      <c r="X222" s="78"/>
      <c r="Y222" s="78"/>
      <c r="Z222" s="2"/>
      <c r="AA222" s="2"/>
      <c r="AB222" s="2"/>
      <c r="AC222" s="2"/>
      <c r="AD222" s="2"/>
      <c r="AE222" s="2"/>
      <c r="AF222" s="2"/>
      <c r="AG222" s="2"/>
    </row>
    <row r="223" spans="1:33" s="34" customFormat="1" ht="31.5" x14ac:dyDescent="0.25">
      <c r="A223" s="2"/>
      <c r="B223" s="2" t="s">
        <v>344</v>
      </c>
      <c r="C223" s="3" t="s">
        <v>345</v>
      </c>
      <c r="D223" s="3">
        <v>2019</v>
      </c>
      <c r="E223" s="81" t="s">
        <v>346</v>
      </c>
      <c r="F223" s="3" t="s">
        <v>62</v>
      </c>
      <c r="G223" s="3" t="s">
        <v>58</v>
      </c>
      <c r="H223" s="3" t="s">
        <v>47</v>
      </c>
      <c r="I223" s="3" t="s">
        <v>53</v>
      </c>
      <c r="J223" s="3">
        <v>7</v>
      </c>
      <c r="K223" s="3">
        <v>300</v>
      </c>
      <c r="L223" s="3" t="s">
        <v>113</v>
      </c>
      <c r="M223" s="3" t="s">
        <v>53</v>
      </c>
      <c r="N223" s="3" t="s">
        <v>47</v>
      </c>
      <c r="O223" s="81" t="s">
        <v>65</v>
      </c>
      <c r="P223" s="3" t="s">
        <v>88</v>
      </c>
      <c r="Q223" s="7" t="s">
        <v>50</v>
      </c>
      <c r="R223" s="3" t="s">
        <v>58</v>
      </c>
      <c r="S223" s="3" t="s">
        <v>77</v>
      </c>
      <c r="T223" s="3" t="s">
        <v>53</v>
      </c>
      <c r="U223" s="3" t="s">
        <v>47</v>
      </c>
      <c r="V223" s="4" t="s">
        <v>347</v>
      </c>
      <c r="W223" s="302">
        <f>'EIME data'!D14</f>
        <v>4.07</v>
      </c>
      <c r="X223" s="78"/>
      <c r="Y223" s="78"/>
      <c r="Z223" s="2"/>
      <c r="AA223" s="2"/>
      <c r="AB223" s="2"/>
      <c r="AC223" s="2"/>
      <c r="AD223" s="2"/>
      <c r="AE223" s="2"/>
      <c r="AF223" s="2"/>
      <c r="AG223" s="2"/>
    </row>
    <row r="224" spans="1:33" s="344" customFormat="1" x14ac:dyDescent="0.25">
      <c r="A224" s="327"/>
      <c r="B224" s="327"/>
      <c r="C224" s="329" t="s">
        <v>168</v>
      </c>
      <c r="D224" s="328"/>
      <c r="E224" s="354"/>
      <c r="F224" s="329" t="s">
        <v>168</v>
      </c>
      <c r="G224" s="328"/>
      <c r="H224" s="328"/>
      <c r="I224" s="328"/>
      <c r="J224" s="328"/>
      <c r="K224" s="328"/>
      <c r="L224" s="328"/>
      <c r="M224" s="328"/>
      <c r="N224" s="328"/>
      <c r="O224" s="328"/>
      <c r="P224" s="328"/>
      <c r="Q224" s="328"/>
      <c r="R224" s="328"/>
      <c r="S224" s="328"/>
      <c r="T224" s="328"/>
      <c r="U224" s="328"/>
      <c r="V224" s="330"/>
      <c r="W224" s="338"/>
      <c r="X224" s="331"/>
      <c r="Y224" s="331"/>
      <c r="Z224" s="327"/>
      <c r="AA224" s="327"/>
      <c r="AB224" s="327"/>
      <c r="AC224" s="327"/>
      <c r="AD224" s="327"/>
      <c r="AE224" s="327"/>
      <c r="AF224" s="327"/>
      <c r="AG224" s="327"/>
    </row>
    <row r="225" spans="1:33" s="34" customFormat="1" ht="157.5" x14ac:dyDescent="0.25">
      <c r="A225" s="2"/>
      <c r="B225" s="2" t="s">
        <v>348</v>
      </c>
      <c r="C225" s="3" t="s">
        <v>348</v>
      </c>
      <c r="D225" s="7">
        <v>2016</v>
      </c>
      <c r="E225" s="81" t="s">
        <v>349</v>
      </c>
      <c r="F225" s="3" t="s">
        <v>62</v>
      </c>
      <c r="G225" s="3" t="s">
        <v>46</v>
      </c>
      <c r="H225" s="3" t="s">
        <v>47</v>
      </c>
      <c r="I225" s="3" t="s">
        <v>47</v>
      </c>
      <c r="J225" s="7" t="s">
        <v>74</v>
      </c>
      <c r="K225" s="7" t="s">
        <v>350</v>
      </c>
      <c r="L225" s="7" t="s">
        <v>89</v>
      </c>
      <c r="M225" s="7" t="s">
        <v>77</v>
      </c>
      <c r="N225" s="7" t="s">
        <v>81</v>
      </c>
      <c r="O225" s="3" t="s">
        <v>351</v>
      </c>
      <c r="P225" s="3" t="s">
        <v>88</v>
      </c>
      <c r="Q225" s="3" t="s">
        <v>61</v>
      </c>
      <c r="R225" s="7" t="s">
        <v>53</v>
      </c>
      <c r="S225" s="3" t="s">
        <v>72</v>
      </c>
      <c r="T225" s="3" t="s">
        <v>47</v>
      </c>
      <c r="U225" s="3" t="s">
        <v>53</v>
      </c>
      <c r="V225" s="4" t="s">
        <v>352</v>
      </c>
      <c r="W225" s="302">
        <f>'EcoInvent data'!H22</f>
        <v>7.5</v>
      </c>
      <c r="X225" s="78"/>
      <c r="Y225" s="78"/>
      <c r="Z225" s="2"/>
      <c r="AA225" s="2"/>
      <c r="AB225" s="2"/>
      <c r="AC225" s="2"/>
      <c r="AD225" s="2"/>
      <c r="AE225" s="2"/>
      <c r="AF225" s="2"/>
      <c r="AG225" s="2"/>
    </row>
    <row r="226" spans="1:33" s="343" customFormat="1" x14ac:dyDescent="0.25">
      <c r="A226" s="325"/>
      <c r="W226" s="311"/>
    </row>
    <row r="227" spans="1:33" x14ac:dyDescent="0.25">
      <c r="A227" s="2"/>
    </row>
    <row r="228" spans="1:33" x14ac:dyDescent="0.25">
      <c r="A228" s="2"/>
    </row>
    <row r="229" spans="1:33" x14ac:dyDescent="0.25">
      <c r="A229" s="2"/>
    </row>
    <row r="230" spans="1:33" x14ac:dyDescent="0.25">
      <c r="A230" s="2"/>
    </row>
    <row r="231" spans="1:33" x14ac:dyDescent="0.25">
      <c r="A231" s="2"/>
    </row>
    <row r="232" spans="1:33" x14ac:dyDescent="0.25">
      <c r="A232" s="2"/>
    </row>
    <row r="233" spans="1:33" x14ac:dyDescent="0.25">
      <c r="A233" s="250"/>
    </row>
    <row r="234" spans="1:33" x14ac:dyDescent="0.25">
      <c r="A234" s="2"/>
    </row>
    <row r="235" spans="1:33" x14ac:dyDescent="0.25">
      <c r="A235" s="2"/>
    </row>
    <row r="236" spans="1:33" x14ac:dyDescent="0.25">
      <c r="A236" s="2"/>
    </row>
    <row r="237" spans="1:33" x14ac:dyDescent="0.25">
      <c r="A237" s="2"/>
    </row>
    <row r="238" spans="1:33" x14ac:dyDescent="0.25">
      <c r="A238" s="2"/>
    </row>
    <row r="239" spans="1:33" x14ac:dyDescent="0.25">
      <c r="A239" s="2"/>
    </row>
    <row r="240" spans="1:33" x14ac:dyDescent="0.25">
      <c r="A240" s="2"/>
    </row>
    <row r="241" spans="1:1" x14ac:dyDescent="0.25">
      <c r="A241" s="2"/>
    </row>
    <row r="242" spans="1:1" x14ac:dyDescent="0.25">
      <c r="A242" s="2"/>
    </row>
    <row r="243" spans="1:1" x14ac:dyDescent="0.25">
      <c r="A243" s="2"/>
    </row>
    <row r="244" spans="1:1" x14ac:dyDescent="0.25">
      <c r="A244" s="2"/>
    </row>
    <row r="245" spans="1:1" x14ac:dyDescent="0.25">
      <c r="A245" s="250"/>
    </row>
    <row r="246" spans="1:1" x14ac:dyDescent="0.25">
      <c r="A246" s="2"/>
    </row>
    <row r="247" spans="1:1" x14ac:dyDescent="0.25">
      <c r="A247" s="2"/>
    </row>
    <row r="248" spans="1:1" x14ac:dyDescent="0.25">
      <c r="A248" s="2"/>
    </row>
    <row r="249" spans="1:1" x14ac:dyDescent="0.25">
      <c r="A249" s="2"/>
    </row>
    <row r="250" spans="1:1" x14ac:dyDescent="0.25">
      <c r="A250" s="2"/>
    </row>
    <row r="251" spans="1:1" x14ac:dyDescent="0.25">
      <c r="A251" s="2"/>
    </row>
    <row r="252" spans="1:1" x14ac:dyDescent="0.25">
      <c r="A252" s="2"/>
    </row>
    <row r="253" spans="1:1" x14ac:dyDescent="0.25">
      <c r="A253" s="2"/>
    </row>
    <row r="254" spans="1:1" x14ac:dyDescent="0.25">
      <c r="A254" s="2"/>
    </row>
    <row r="255" spans="1:1" x14ac:dyDescent="0.25">
      <c r="A255" s="2"/>
    </row>
    <row r="256" spans="1:1" x14ac:dyDescent="0.25">
      <c r="A256" s="250"/>
    </row>
    <row r="257" spans="1:1" x14ac:dyDescent="0.25">
      <c r="A257" s="2"/>
    </row>
    <row r="258" spans="1:1" x14ac:dyDescent="0.25">
      <c r="A258" s="2"/>
    </row>
    <row r="259" spans="1:1" x14ac:dyDescent="0.25">
      <c r="A259" s="2"/>
    </row>
    <row r="260" spans="1:1" x14ac:dyDescent="0.25">
      <c r="A260" s="2"/>
    </row>
    <row r="261" spans="1:1" x14ac:dyDescent="0.25">
      <c r="A261" s="2"/>
    </row>
    <row r="262" spans="1:1" x14ac:dyDescent="0.25">
      <c r="A262" s="2"/>
    </row>
    <row r="263" spans="1:1" x14ac:dyDescent="0.25">
      <c r="A263" s="2"/>
    </row>
    <row r="264" spans="1:1" x14ac:dyDescent="0.25">
      <c r="A264" s="2"/>
    </row>
    <row r="265" spans="1:1" x14ac:dyDescent="0.25">
      <c r="A265" s="2"/>
    </row>
    <row r="266" spans="1:1" x14ac:dyDescent="0.25">
      <c r="A266" s="2"/>
    </row>
    <row r="267" spans="1:1" x14ac:dyDescent="0.25">
      <c r="A267" s="250"/>
    </row>
    <row r="268" spans="1:1" x14ac:dyDescent="0.25">
      <c r="A268" s="2"/>
    </row>
    <row r="269" spans="1:1" x14ac:dyDescent="0.25">
      <c r="A269" s="2"/>
    </row>
    <row r="270" spans="1:1" x14ac:dyDescent="0.25">
      <c r="A270" s="2"/>
    </row>
    <row r="271" spans="1:1" x14ac:dyDescent="0.25">
      <c r="A271" s="2"/>
    </row>
    <row r="272" spans="1:1" x14ac:dyDescent="0.25">
      <c r="A272" s="2"/>
    </row>
    <row r="273" spans="1:1" x14ac:dyDescent="0.25">
      <c r="A273" s="2"/>
    </row>
    <row r="274" spans="1:1" x14ac:dyDescent="0.25">
      <c r="A274" s="2"/>
    </row>
    <row r="275" spans="1:1" x14ac:dyDescent="0.25">
      <c r="A275" s="2"/>
    </row>
    <row r="276" spans="1:1" x14ac:dyDescent="0.25">
      <c r="A276" s="2"/>
    </row>
    <row r="277" spans="1:1" x14ac:dyDescent="0.25">
      <c r="A277" s="2"/>
    </row>
    <row r="278" spans="1:1" x14ac:dyDescent="0.25">
      <c r="A278" s="250"/>
    </row>
    <row r="279" spans="1:1" x14ac:dyDescent="0.25">
      <c r="A279" s="2"/>
    </row>
    <row r="280" spans="1:1" x14ac:dyDescent="0.25">
      <c r="A280" s="323"/>
    </row>
    <row r="281" spans="1:1" x14ac:dyDescent="0.25">
      <c r="A281" s="2"/>
    </row>
    <row r="282" spans="1:1" x14ac:dyDescent="0.25">
      <c r="A282" s="2"/>
    </row>
    <row r="283" spans="1:1" x14ac:dyDescent="0.25">
      <c r="A283" s="2"/>
    </row>
    <row r="284" spans="1:1" x14ac:dyDescent="0.25">
      <c r="A284" s="2"/>
    </row>
    <row r="285" spans="1:1" x14ac:dyDescent="0.25">
      <c r="A285" s="2"/>
    </row>
    <row r="286" spans="1:1" x14ac:dyDescent="0.25">
      <c r="A286" s="2"/>
    </row>
    <row r="287" spans="1:1" x14ac:dyDescent="0.25">
      <c r="A287" s="2"/>
    </row>
    <row r="288" spans="1:1" x14ac:dyDescent="0.25">
      <c r="A288" s="2"/>
    </row>
    <row r="289" spans="1:1" x14ac:dyDescent="0.25">
      <c r="A289" s="2"/>
    </row>
    <row r="290" spans="1:1" x14ac:dyDescent="0.25">
      <c r="A290" s="2"/>
    </row>
    <row r="291" spans="1:1" x14ac:dyDescent="0.25">
      <c r="A291" s="2"/>
    </row>
    <row r="292" spans="1:1" x14ac:dyDescent="0.25">
      <c r="A292" s="2"/>
    </row>
    <row r="293" spans="1:1" x14ac:dyDescent="0.25">
      <c r="A293" s="2"/>
    </row>
    <row r="294" spans="1:1" x14ac:dyDescent="0.25">
      <c r="A294" s="2"/>
    </row>
    <row r="295" spans="1:1" x14ac:dyDescent="0.25">
      <c r="A295" s="2"/>
    </row>
    <row r="296" spans="1:1" x14ac:dyDescent="0.25">
      <c r="A296" s="323"/>
    </row>
    <row r="297" spans="1:1" x14ac:dyDescent="0.25">
      <c r="A297" s="2"/>
    </row>
    <row r="298" spans="1:1" x14ac:dyDescent="0.25">
      <c r="A298" s="2"/>
    </row>
    <row r="299" spans="1:1" x14ac:dyDescent="0.25">
      <c r="A299" s="2"/>
    </row>
    <row r="300" spans="1:1" x14ac:dyDescent="0.25">
      <c r="A300" s="2"/>
    </row>
    <row r="301" spans="1:1" x14ac:dyDescent="0.25">
      <c r="A301" s="2"/>
    </row>
    <row r="302" spans="1:1" x14ac:dyDescent="0.25">
      <c r="A302" s="2"/>
    </row>
    <row r="303" spans="1:1" x14ac:dyDescent="0.25">
      <c r="A303" s="2"/>
    </row>
    <row r="304" spans="1:1" x14ac:dyDescent="0.25">
      <c r="A304" s="2"/>
    </row>
    <row r="305" spans="1:1" x14ac:dyDescent="0.25">
      <c r="A305" s="2"/>
    </row>
    <row r="306" spans="1:1" x14ac:dyDescent="0.25">
      <c r="A306" s="2"/>
    </row>
    <row r="307" spans="1:1" x14ac:dyDescent="0.25">
      <c r="A307" s="2"/>
    </row>
    <row r="308" spans="1:1" x14ac:dyDescent="0.25">
      <c r="A308" s="2"/>
    </row>
    <row r="309" spans="1:1" x14ac:dyDescent="0.25">
      <c r="A309" s="2"/>
    </row>
    <row r="310" spans="1:1" x14ac:dyDescent="0.25">
      <c r="A310" s="2"/>
    </row>
    <row r="311" spans="1:1" x14ac:dyDescent="0.25">
      <c r="A311" s="2"/>
    </row>
    <row r="312" spans="1:1" x14ac:dyDescent="0.25">
      <c r="A312" s="2"/>
    </row>
    <row r="313" spans="1:1" x14ac:dyDescent="0.25">
      <c r="A313" s="2"/>
    </row>
    <row r="314" spans="1:1" x14ac:dyDescent="0.25">
      <c r="A314" s="324"/>
    </row>
  </sheetData>
  <autoFilter ref="J1:J225" xr:uid="{C2717737-AA6C-4DC3-A64B-5D54ADEAD8E9}"/>
  <mergeCells count="2">
    <mergeCell ref="B2:W2"/>
    <mergeCell ref="G4:U4"/>
  </mergeCells>
  <hyperlinks>
    <hyperlink ref="E18" r:id="rId1" xr:uid="{97A573E5-B1F9-4889-8AD6-7252C44701A6}"/>
    <hyperlink ref="E139" r:id="rId2" xr:uid="{81CD692F-D8CC-4E6D-AD52-956C8C9E34B1}"/>
    <hyperlink ref="E140" r:id="rId3" xr:uid="{3522A467-3CE4-4427-A14A-E73BDF4DEBEA}"/>
    <hyperlink ref="E141" r:id="rId4" xr:uid="{64C7471B-6484-4916-8B2B-A4359DD3E105}"/>
    <hyperlink ref="E142" r:id="rId5" xr:uid="{DD73E2AC-C609-4B0F-AEE0-79A891381443}"/>
    <hyperlink ref="E143" r:id="rId6" xr:uid="{7B568408-D14C-44BD-A783-58CDF04C9554}"/>
    <hyperlink ref="E144" r:id="rId7" xr:uid="{7ABD678B-66EC-419D-8AA1-70F8C1089059}"/>
    <hyperlink ref="E194" r:id="rId8" xr:uid="{3266571A-F8FD-4543-B408-1A35B82D4719}"/>
    <hyperlink ref="E203" r:id="rId9" xr:uid="{4DAB7E65-B8F9-43A0-8E3D-D33E611DE4EF}"/>
    <hyperlink ref="E205" r:id="rId10" xr:uid="{D8DEA9F1-DB44-4C8B-836D-C52D969326F3}"/>
    <hyperlink ref="E206" r:id="rId11" xr:uid="{4DF36AE5-BB55-4FF7-9AA4-35586752718D}"/>
    <hyperlink ref="E207" r:id="rId12" xr:uid="{50A77606-B746-4262-B8A8-3F0367604A0E}"/>
    <hyperlink ref="E208" r:id="rId13" xr:uid="{566F0986-9906-4C5A-BACA-921417A2F5D7}"/>
    <hyperlink ref="E209" r:id="rId14" xr:uid="{56CE4043-E25C-4E56-913D-B6DA75567541}"/>
    <hyperlink ref="E213" r:id="rId15" xr:uid="{6340D42C-7F63-43C2-A395-9EE9CA639D0F}"/>
    <hyperlink ref="E214" r:id="rId16" xr:uid="{3F4BE7B8-0CF1-4CDB-842D-259AB75E9E94}"/>
    <hyperlink ref="E198" r:id="rId17" xr:uid="{2DB1EEBC-6033-449E-8E11-F7FA85DCE4CD}"/>
    <hyperlink ref="E199" r:id="rId18" xr:uid="{6814D65E-B5AA-45E1-94B6-92E88D66E092}"/>
    <hyperlink ref="E200" r:id="rId19" xr:uid="{EA68835D-13F5-4360-BCCF-796C7E4F4B96}"/>
    <hyperlink ref="E201" r:id="rId20" xr:uid="{0DD5AA69-0547-487B-9C88-9AD0E6752D02}"/>
    <hyperlink ref="E145" r:id="rId21" xr:uid="{C6677113-A30B-4AE6-8B2D-8FC5E3354D2B}"/>
    <hyperlink ref="E146" r:id="rId22" xr:uid="{D9D86D45-45DF-495D-9645-2906B359759C}"/>
    <hyperlink ref="E147" r:id="rId23" xr:uid="{C0CFBD01-93BC-41D4-A938-EBBCA584DCAD}"/>
    <hyperlink ref="E150" r:id="rId24" xr:uid="{CBCD423C-E513-49B4-868C-F3F1375058C6}"/>
    <hyperlink ref="E151" r:id="rId25" xr:uid="{6B006958-C9E4-4004-8DA2-EAF2B3D65325}"/>
    <hyperlink ref="E152" r:id="rId26" xr:uid="{31AB4D14-9B23-4066-A62A-B51C59C74ED1}"/>
    <hyperlink ref="E155" r:id="rId27" xr:uid="{2F727664-B820-4FCC-A5F2-E586BC86A337}"/>
    <hyperlink ref="E153" r:id="rId28" xr:uid="{ACF4FA2D-ECCF-4B12-8249-EE3E5F7C9BFD}"/>
    <hyperlink ref="E154" r:id="rId29" xr:uid="{8D554900-6264-4E6F-A840-C5334C3E53D8}"/>
    <hyperlink ref="E156" r:id="rId30" xr:uid="{BDAE65A1-D156-4876-AB54-1A034D5EE16A}"/>
    <hyperlink ref="E157" r:id="rId31" xr:uid="{C1791B08-6399-4CC2-87D3-C9BA37FA3DA8}"/>
    <hyperlink ref="E158" r:id="rId32" xr:uid="{8BA851B9-FB51-4FD9-B8AB-6D158AA26AC8}"/>
    <hyperlink ref="E159" r:id="rId33" xr:uid="{21C80AF6-399C-41F2-8D21-5A2F4C47EC34}"/>
    <hyperlink ref="E162" r:id="rId34" xr:uid="{D6A83153-8250-4BF3-9E30-C5CB9F0F0F99}"/>
    <hyperlink ref="E163" r:id="rId35" xr:uid="{9FDA870E-89FA-4682-92A5-EA510A59427A}"/>
    <hyperlink ref="E164" r:id="rId36" xr:uid="{4E773837-6E69-4634-882B-BCC294494846}"/>
    <hyperlink ref="E165" r:id="rId37" xr:uid="{1F825D94-62E9-43C6-9D57-435BAAC9696D}"/>
    <hyperlink ref="E166" r:id="rId38" xr:uid="{48902575-3336-409E-95A9-EA8823404EE1}"/>
    <hyperlink ref="E167" r:id="rId39" xr:uid="{E40ADD85-408E-447B-933B-17324AF0EBD6}"/>
    <hyperlink ref="E168" r:id="rId40" xr:uid="{037D4CB7-31C5-46DE-A35A-2A4D6BE2547A}"/>
    <hyperlink ref="E169" r:id="rId41" xr:uid="{055EB29B-67DB-45B4-B7D8-5B73B51489B7}"/>
    <hyperlink ref="E170" r:id="rId42" xr:uid="{9F1A5C2B-54F3-44D1-B74D-BA410FC4212B}"/>
    <hyperlink ref="E7" r:id="rId43" xr:uid="{EAC03BA2-6E58-4BBC-885D-6230E9301AE0}"/>
    <hyperlink ref="E9" r:id="rId44" xr:uid="{E6BDFC4E-F768-4F5C-B528-282FA2B123B5}"/>
    <hyperlink ref="E10:E16" r:id="rId45" display="http://link.springer.com/10.1007/978-1-4419-9988-7" xr:uid="{B0C1FB4F-68B1-4986-A28A-A5571FBDB58E}"/>
    <hyperlink ref="E19" r:id="rId46" xr:uid="{AF913E98-1909-4E8F-8075-23A3CE327508}"/>
    <hyperlink ref="E22" r:id="rId47" xr:uid="{9EEDA90A-CB95-4DDE-83BD-5B0470D6D2D1}"/>
    <hyperlink ref="E23" r:id="rId48" xr:uid="{1ACAE750-EDB5-49A7-B66A-1553C86C4EA4}"/>
    <hyperlink ref="E26" r:id="rId49" xr:uid="{2AFC87E0-24E3-4DD1-B0E6-6715CAB82797}"/>
    <hyperlink ref="E35" r:id="rId50" xr:uid="{C0B98732-D44A-45D8-94D6-77AC8E9A2408}"/>
    <hyperlink ref="E43" r:id="rId51" xr:uid="{7BDDE5E4-0119-4B9C-B2E2-61553604EB42}"/>
    <hyperlink ref="E42" r:id="rId52" xr:uid="{023E9A1D-EF82-42C2-A71C-8F4BFFFD4DCD}"/>
    <hyperlink ref="E41" r:id="rId53" xr:uid="{CF321073-2A43-4273-8920-6E6E96C2EA4F}"/>
    <hyperlink ref="E40" r:id="rId54" xr:uid="{4E510CEA-3D3F-4C5C-A01E-149CA9CC9114}"/>
    <hyperlink ref="E39" r:id="rId55" xr:uid="{2075FD8D-4C4D-4992-B1AB-6D7A17C22C21}"/>
    <hyperlink ref="E38" r:id="rId56" xr:uid="{3A437237-69C2-4806-9596-BB7856C6B254}"/>
    <hyperlink ref="E37" r:id="rId57" xr:uid="{414187B2-2C7D-486A-AB78-0275D28E6736}"/>
    <hyperlink ref="E36" r:id="rId58" xr:uid="{0DB3A600-2200-4694-AF85-6D520F19B643}"/>
    <hyperlink ref="E21" r:id="rId59" xr:uid="{ADABEB5A-D516-46C4-A229-EE12F6F4E8D1}"/>
    <hyperlink ref="E138" r:id="rId60" xr:uid="{290E659F-6DDC-40F8-87C6-D2D4F3468CB4}"/>
    <hyperlink ref="E161" r:id="rId61" xr:uid="{CA4D7A7E-C9D5-459B-AB0B-891E0B2318B4}"/>
    <hyperlink ref="E149" r:id="rId62" xr:uid="{CB30BA7A-14E5-472A-9E0D-9B2BF0F1936D}"/>
    <hyperlink ref="E58" r:id="rId63" xr:uid="{170B0A3E-08B7-4C42-87A7-3B30C9E9E4F4}"/>
    <hyperlink ref="E57" r:id="rId64" xr:uid="{478C8DAF-AF30-43BB-B6C5-A83535489CEF}"/>
    <hyperlink ref="E8" r:id="rId65" xr:uid="{E835C6F7-6442-4B7E-AB09-0A88D674DC8A}"/>
    <hyperlink ref="E183" r:id="rId66" xr:uid="{2E92AC1B-2666-4764-90F0-66B51B8CA0B2}"/>
    <hyperlink ref="E184" r:id="rId67" xr:uid="{B16CCAFF-FF42-4482-B162-0B992F4FA535}"/>
    <hyperlink ref="E185" r:id="rId68" xr:uid="{D8653F1A-7A7C-475F-A0B0-37CE1FF8594F}"/>
    <hyperlink ref="E186" r:id="rId69" xr:uid="{FF1AD91B-D05F-4FF5-B7E9-155D6ED12923}"/>
    <hyperlink ref="E187" r:id="rId70" xr:uid="{2C99B4E8-8967-4075-BECD-2D4AAC0EFF41}"/>
    <hyperlink ref="E189" r:id="rId71" xr:uid="{85E884E2-FFE5-4C4E-9F3A-E38CAA8D91AC}"/>
    <hyperlink ref="E188" r:id="rId72" xr:uid="{9E476757-2CA4-465E-A26E-EB6D9F126CC5}"/>
    <hyperlink ref="E190" r:id="rId73" xr:uid="{691A3D93-9B5C-4184-927A-3550FD540F9C}"/>
    <hyperlink ref="E191" r:id="rId74" xr:uid="{754D0F1F-4EE6-4A75-AD41-3C64F51F89A3}"/>
    <hyperlink ref="E192" r:id="rId75" xr:uid="{A20ABCED-0EB6-4968-9A17-4C13E00A35C2}"/>
    <hyperlink ref="E172" r:id="rId76" xr:uid="{A8666440-D9F9-48CE-9499-298FF62E79C5}"/>
    <hyperlink ref="E173" r:id="rId77" xr:uid="{EE110333-028D-4B5F-9153-F30C1A1C4C84}"/>
    <hyperlink ref="E174" r:id="rId78" xr:uid="{6238E473-5611-4F75-9E60-599F41CE546A}"/>
    <hyperlink ref="E175" r:id="rId79" xr:uid="{6A5CC879-FE9A-454D-B854-C4B1AE4B11E5}"/>
    <hyperlink ref="E176" r:id="rId80" xr:uid="{C9764875-7087-4709-913A-E13F88FE6BDB}"/>
    <hyperlink ref="E177" r:id="rId81" xr:uid="{7B883A6F-2C08-414C-B05B-10620210C0D9}"/>
    <hyperlink ref="E178" r:id="rId82" xr:uid="{90F36533-6A5E-4C27-80C1-B20F4C2E36C8}"/>
    <hyperlink ref="E179" r:id="rId83" xr:uid="{02CA8AC6-CF24-4523-AC40-CFF13996B744}"/>
    <hyperlink ref="E180" r:id="rId84" xr:uid="{39D4A20F-E41D-4A49-AC01-83AB2B2D21D6}"/>
    <hyperlink ref="E181" r:id="rId85" xr:uid="{31A63792-BE1B-4738-B5E2-622773981C18}"/>
    <hyperlink ref="E60" r:id="rId86" xr:uid="{8C0D5C03-A496-4893-9BB5-2ABF897089D5}"/>
    <hyperlink ref="E61" r:id="rId87" xr:uid="{82F5D5BF-1BA8-4624-A135-B8D8AB38F91F}"/>
    <hyperlink ref="E62" r:id="rId88" xr:uid="{6F1E5275-83D5-4F7A-8ABC-26D487561A7F}"/>
    <hyperlink ref="E63" r:id="rId89" xr:uid="{19958016-D4A4-4019-8EE9-2A5533430B30}"/>
    <hyperlink ref="E64" r:id="rId90" xr:uid="{B3BE8A90-A847-4CB0-8A92-11A53FBAD0D7}"/>
    <hyperlink ref="E65" r:id="rId91" xr:uid="{1FAB40AB-3943-455E-B18C-AA5F68BF2E53}"/>
    <hyperlink ref="E66" r:id="rId92" xr:uid="{FC08E7E7-48A0-485A-AC47-0161A20D02FA}"/>
    <hyperlink ref="E67" r:id="rId93" xr:uid="{A5814009-A3EB-4F8B-8D10-783C95E119FC}"/>
    <hyperlink ref="E68" r:id="rId94" xr:uid="{999B6779-2C02-49B4-BB7D-7DDF15F0B65B}"/>
    <hyperlink ref="E69" r:id="rId95" xr:uid="{83ACF00E-302E-43B5-9B7E-A1742F6788A0}"/>
    <hyperlink ref="E70" r:id="rId96" xr:uid="{D44A3564-3AD3-4961-AD47-63F36676D2B5}"/>
    <hyperlink ref="E71" r:id="rId97" xr:uid="{FC37A6EF-07F7-4547-AC45-AC048AB17522}"/>
    <hyperlink ref="E72" r:id="rId98" xr:uid="{025EBCE4-D0C5-4514-A763-ACBE31F19357}"/>
    <hyperlink ref="E73" r:id="rId99" xr:uid="{6232A78B-FF77-4407-AE5B-F4CD1D4D3DF4}"/>
    <hyperlink ref="E74" r:id="rId100" xr:uid="{3058167D-460C-4999-A16E-F99DC03DAF47}"/>
    <hyperlink ref="E75" r:id="rId101" xr:uid="{72DB7AA0-4DA3-47A3-B386-D6DB4392B191}"/>
    <hyperlink ref="E76" r:id="rId102" xr:uid="{43E20832-986D-446A-86B8-B5BF6653D1A7}"/>
    <hyperlink ref="E77" r:id="rId103" xr:uid="{61E6B181-8351-499F-AAEF-A632ECAE8BF6}"/>
    <hyperlink ref="E78" r:id="rId104" xr:uid="{D2E7D0F9-C894-48C5-987B-2B2CBEE484A0}"/>
    <hyperlink ref="E79" r:id="rId105" xr:uid="{47D9DD3F-6429-45D1-BFDB-DB801B14D6CA}"/>
    <hyperlink ref="E80" r:id="rId106" xr:uid="{7A5BC31E-64B8-44A8-B886-FF6DA98846DE}"/>
    <hyperlink ref="E81" r:id="rId107" xr:uid="{FB7B203E-9F87-463E-B162-523FF9168CD7}"/>
    <hyperlink ref="E82" r:id="rId108" xr:uid="{EAD1A2C1-24FA-412D-8807-E7CE3F292C2E}"/>
    <hyperlink ref="E83" r:id="rId109" xr:uid="{4B7DFB4F-9F66-4DC8-8139-28E9D0AA18AF}"/>
    <hyperlink ref="E84" r:id="rId110" xr:uid="{84BEA5B1-FB3D-4746-8E0F-7C3FE2E66E68}"/>
    <hyperlink ref="E85" r:id="rId111" xr:uid="{CB40385C-3DFD-4D2C-AF77-0DDD2FA6E344}"/>
    <hyperlink ref="E86" r:id="rId112" xr:uid="{FD16B568-3E47-4A2E-A9DA-52A8E4A82FDC}"/>
    <hyperlink ref="E195" r:id="rId113" xr:uid="{DA8F84E7-0658-4104-855A-E5CE4C050770}"/>
    <hyperlink ref="E196" r:id="rId114" xr:uid="{EDA2117B-90AD-4691-AD43-6B8C5660ED5C}"/>
    <hyperlink ref="E197" r:id="rId115" xr:uid="{BC7BFD38-217E-4448-92F7-EC49D66FDBE5}"/>
    <hyperlink ref="E24:E25" r:id="rId116" display="https://doi.org/10.1109/FTFC.2013.6577767" xr:uid="{98D6CDEB-C320-473D-B986-7A3445C5CD0B}"/>
    <hyperlink ref="E87" r:id="rId117" xr:uid="{8DDB117E-56C2-47DB-B1E0-943370A4B2C9}"/>
    <hyperlink ref="E88" r:id="rId118" xr:uid="{CA82CB2E-275D-49CF-9196-7FF452AA94D9}"/>
    <hyperlink ref="E20" r:id="rId119" xr:uid="{B69A907E-666F-40CF-9B3B-26FE4F759F66}"/>
    <hyperlink ref="E44" r:id="rId120" xr:uid="{7817C4FA-65AA-4453-A03C-36F5F875FAA9}"/>
    <hyperlink ref="E45" r:id="rId121" xr:uid="{CF606123-DE36-4053-8847-463AF65C050C}"/>
    <hyperlink ref="E17" r:id="rId122" xr:uid="{D2930701-AA56-4614-A2C2-017E54AB355F}"/>
    <hyperlink ref="E46" r:id="rId123" xr:uid="{59EDD1C1-34C6-4240-AC9E-21B9ACC7FE53}"/>
    <hyperlink ref="E47" r:id="rId124" xr:uid="{9B46AE8E-279C-49A4-BEA1-3C14AB5D4682}"/>
    <hyperlink ref="E48" r:id="rId125" xr:uid="{C301ABC4-85F0-47D9-AD81-E0543C07C277}"/>
    <hyperlink ref="E49" r:id="rId126" xr:uid="{B56F43CB-DF07-426B-BD96-DA1116105B1E}"/>
    <hyperlink ref="E50" r:id="rId127" xr:uid="{732B56FA-D8F7-4243-B7C7-84E9E0D07473}"/>
    <hyperlink ref="E51:E56" r:id="rId128" display="https://doi.org/10.1109/IGCC.2017.8323572" xr:uid="{35D9A143-960B-4923-A063-E2A3BBB0D3DB}"/>
    <hyperlink ref="E27" r:id="rId129" xr:uid="{1EE1DE70-B372-4700-B2B4-D832CA7363A7}"/>
    <hyperlink ref="E28" r:id="rId130" xr:uid="{798EBC1E-A4FC-4A27-9CD7-A09571E30900}"/>
    <hyperlink ref="E29" r:id="rId131" xr:uid="{216559E9-31A3-49C7-89B6-8C0CF0350BF7}"/>
    <hyperlink ref="E30" r:id="rId132" xr:uid="{DB5BF53E-7829-4AE0-B415-24BB93422AC8}"/>
    <hyperlink ref="E31" r:id="rId133" xr:uid="{032DBF36-B639-40D0-A8DA-C70931110897}"/>
    <hyperlink ref="E32" r:id="rId134" xr:uid="{5D90F3F2-FDBD-4A15-BCAB-687546BCE42D}"/>
    <hyperlink ref="E33" r:id="rId135" xr:uid="{A6490A02-AE6D-43D2-AC8B-974F30C8B57F}"/>
    <hyperlink ref="E34" r:id="rId136" xr:uid="{7B5F33B7-7ABC-47B1-8AEA-71E8EA7216DB}"/>
    <hyperlink ref="E89" r:id="rId137" display="https://doi.org/10.1109/ISEE.2008.4562888" xr:uid="{57A84832-CCA5-4FC8-BDB5-D0E2FF33BF2F}"/>
    <hyperlink ref="E90" r:id="rId138" display="https://doi.org/10.1109/ISEE.2008.4562888" xr:uid="{0B2C94DA-0943-4F1F-8135-B840856F8CDB}"/>
    <hyperlink ref="E91" r:id="rId139" display="https://doi.org/10.1109/ISEE.2008.4562888" xr:uid="{A9CDF6F1-E1BF-403D-9A62-24D1628BE054}"/>
    <hyperlink ref="E92" r:id="rId140" display="https://doi.org/10.1109/ISEE.2008.4562888" xr:uid="{C2F77951-3131-497E-B65F-50148083C6C5}"/>
    <hyperlink ref="E93" r:id="rId141" display="https://doi.org/10.1109/ISEE.2008.4562888" xr:uid="{FB3EB0AC-BE02-4072-9353-C5907680973C}"/>
    <hyperlink ref="E94" r:id="rId142" display="https://doi.org/10.1109/ISEE.2008.4562888" xr:uid="{25D8630D-D719-444A-ACC7-A2F2DBF32E85}"/>
    <hyperlink ref="E95" r:id="rId143" display="https://doi.org/10.1109/ISEE.2008.4562888" xr:uid="{83021754-0CA7-4D06-9EE6-FC8BB702EA92}"/>
    <hyperlink ref="E96" r:id="rId144" display="https://doi.org/10.1109/ISEE.2008.4562888" xr:uid="{FED1C547-E3ED-4038-882E-AFE20719CA66}"/>
    <hyperlink ref="E97" r:id="rId145" display="https://doi.org/10.1109/ISEE.2008.4562888" xr:uid="{843F2447-BA9A-46F1-89D8-C1131E52C0AB}"/>
    <hyperlink ref="E98" r:id="rId146" display="https://doi.org/10.1109/ISEE.2008.4562888" xr:uid="{0583DEA2-50B1-4242-AEF6-30D920330085}"/>
    <hyperlink ref="E99" r:id="rId147" display="https://doi.org/10.1109/ISEE.2008.4562888" xr:uid="{320AF871-5454-4692-93D9-9A3F397CD87F}"/>
    <hyperlink ref="E100" r:id="rId148" display="https://doi.org/10.1109/ISEE.2008.4562888" xr:uid="{59B1CC08-2314-406F-9BF5-01C16CBCD339}"/>
    <hyperlink ref="E101" r:id="rId149" display="https://doi.org/10.1109/ISEE.2008.4562888" xr:uid="{45301C5B-3257-4401-AA81-6C4C373B930D}"/>
    <hyperlink ref="E102" r:id="rId150" display="https://doi.org/10.1109/ISEE.2008.4562888" xr:uid="{86C9A8A6-3F5C-4D1C-A927-32AF38E40E05}"/>
    <hyperlink ref="E103" r:id="rId151" display="https://doi.org/10.1109/ISEE.2008.4562888" xr:uid="{3EA4A588-F556-4639-96F4-39FF709769F1}"/>
    <hyperlink ref="E104" r:id="rId152" display="https://doi.org/10.1109/ISEE.2008.4562888" xr:uid="{AA6FA1FD-1D86-47A2-8E97-E305689CFC9E}"/>
    <hyperlink ref="E105" r:id="rId153" display="https://doi.org/10.1109/ISEE.2008.4562888" xr:uid="{5CA1573D-0960-4616-BAE7-3EC56660F6BA}"/>
    <hyperlink ref="E106" r:id="rId154" display="https://doi.org/10.1109/ISEE.2008.4562888" xr:uid="{DF4A2ED3-AB25-4228-A10F-E7C1D2B2E562}"/>
    <hyperlink ref="E107" r:id="rId155" display="https://doi.org/10.1109/ISEE.2008.4562888" xr:uid="{D9C37A96-746C-4C3F-B1F4-6746FBEC4903}"/>
    <hyperlink ref="E109" r:id="rId156" xr:uid="{8ABA09FA-F6AF-41A7-A0D0-B7E096CE2D3E}"/>
    <hyperlink ref="E110" r:id="rId157" xr:uid="{84EF4A53-8B68-49A6-91F5-0EDE60A62CB1}"/>
    <hyperlink ref="E111" r:id="rId158" xr:uid="{C9093E5B-2B12-492B-815E-5F9A68207ED2}"/>
    <hyperlink ref="E112" r:id="rId159" xr:uid="{D9A98DA3-E6F8-40A7-93DD-890CC0C2AA26}"/>
    <hyperlink ref="E113" r:id="rId160" xr:uid="{2EEB3C78-0FEE-4CEC-98BF-D02027D84251}"/>
    <hyperlink ref="E114" r:id="rId161" xr:uid="{3118C7C9-8C8C-4530-98BD-DF4E6F32099C}"/>
    <hyperlink ref="E115" r:id="rId162" xr:uid="{EE64DADF-2285-43E0-892A-7ED427210EC3}"/>
    <hyperlink ref="E116" r:id="rId163" xr:uid="{179E0269-3189-4EC3-9955-B43043684D32}"/>
    <hyperlink ref="E117" r:id="rId164" xr:uid="{E53D11A0-8ACB-4C27-8E32-860D29F42589}"/>
    <hyperlink ref="E118" r:id="rId165" xr:uid="{CF3C6CB3-F10E-4AB1-A905-32D213E2791E}"/>
    <hyperlink ref="E119" r:id="rId166" xr:uid="{01E97540-64AE-46F6-BCF1-806F4620C4A1}"/>
    <hyperlink ref="E108" r:id="rId167" display="https://doi.org/10.1109/ISEE.2008.4562888" xr:uid="{EB7C96FF-9E8C-4890-90D9-44FE4054B79C}"/>
    <hyperlink ref="E120" r:id="rId168" xr:uid="{10E89282-16B9-467F-A33B-E40069467072}"/>
    <hyperlink ref="E121" r:id="rId169" xr:uid="{FC0F73F6-8E20-4843-B2F3-8E70278B0637}"/>
    <hyperlink ref="E122" r:id="rId170" xr:uid="{296AF035-8FE7-45EE-991E-1B80A33F7B49}"/>
    <hyperlink ref="E123" r:id="rId171" xr:uid="{59C7A51C-4C59-4A44-AEB1-9FBEC92151F1}"/>
    <hyperlink ref="E124" r:id="rId172" xr:uid="{4F74D92B-0922-4E37-8697-2F1475C17D69}"/>
    <hyperlink ref="E125" r:id="rId173" xr:uid="{51AB49CB-5D27-4E9C-8099-62E5D82899E6}"/>
    <hyperlink ref="E126" r:id="rId174" xr:uid="{652C4BE3-976C-4D27-A762-A73BA9F84875}"/>
    <hyperlink ref="E127" r:id="rId175" xr:uid="{A9BC92B0-9DCB-4EAE-93A6-81947ED22578}"/>
    <hyperlink ref="E128" r:id="rId176" xr:uid="{436AFC17-1103-47A8-9273-9E8B05F703EB}"/>
    <hyperlink ref="E129" r:id="rId177" xr:uid="{02CC4956-57B4-4E8F-91D0-D939EBDB65C4}"/>
    <hyperlink ref="E130" r:id="rId178" xr:uid="{0AAF05ED-7D95-46C4-A9B8-47D4CBD74422}"/>
    <hyperlink ref="E131" r:id="rId179" xr:uid="{C5547227-4E2F-427C-9026-B28E03446E9D}"/>
    <hyperlink ref="E132" r:id="rId180" xr:uid="{7E5055E6-8F6F-4628-8EEB-13EA8B9C775F}"/>
    <hyperlink ref="E133" r:id="rId181" xr:uid="{D5D2F9A6-BBA5-46C6-A6A2-48AE3545C2D6}"/>
    <hyperlink ref="E134" r:id="rId182" xr:uid="{0763554A-5A1F-4FD8-AB98-848514E4069B}"/>
    <hyperlink ref="E135" r:id="rId183" xr:uid="{C5BC4458-A1F7-43F3-B7AF-C937594B8B95}"/>
    <hyperlink ref="E136" r:id="rId184" xr:uid="{E9B4A1D3-94DE-4E40-A8AD-CA3D5F1EE4AA}"/>
    <hyperlink ref="E204" r:id="rId185" xr:uid="{F15EF652-0DDA-4B5A-B24E-E5F112D0FE1C}"/>
    <hyperlink ref="E210" r:id="rId186" xr:uid="{235A062B-93CD-4840-A967-51C832C3E5AB}"/>
    <hyperlink ref="E211" r:id="rId187" xr:uid="{FD603DDB-7B0F-4129-95A9-68582E67E49B}"/>
    <hyperlink ref="E212" r:id="rId188" xr:uid="{A434C345-0DC1-4877-BA3B-9C9080E933F5}"/>
  </hyperlinks>
  <pageMargins left="0.7" right="0.7" top="0.75" bottom="0.75" header="0.3" footer="0.3"/>
  <pageSetup paperSize="9" orientation="portrait" r:id="rId189"/>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3099B9-7A9B-494A-BC42-2DAC018DE907}">
  <sheetPr>
    <tabColor rgb="FF44546A"/>
  </sheetPr>
  <dimension ref="A2:J37"/>
  <sheetViews>
    <sheetView workbookViewId="0">
      <selection activeCell="B2" sqref="B2"/>
    </sheetView>
  </sheetViews>
  <sheetFormatPr defaultRowHeight="15.75" x14ac:dyDescent="0.25"/>
  <cols>
    <col min="1" max="1" width="1.25" style="216" customWidth="1"/>
    <col min="10" max="10" width="1.25" style="216" customWidth="1"/>
  </cols>
  <sheetData>
    <row r="2" spans="2:7" x14ac:dyDescent="0.25">
      <c r="B2" s="237" t="s">
        <v>507</v>
      </c>
      <c r="C2" s="167" t="s">
        <v>936</v>
      </c>
    </row>
    <row r="12" spans="2:7" ht="135" customHeight="1" x14ac:dyDescent="0.25">
      <c r="B12" s="422" t="s">
        <v>1143</v>
      </c>
      <c r="C12" s="422"/>
      <c r="D12" s="422"/>
      <c r="E12" s="422"/>
      <c r="F12" s="422"/>
      <c r="G12" s="422"/>
    </row>
    <row r="13" spans="2:7" x14ac:dyDescent="0.25">
      <c r="B13" s="11"/>
      <c r="C13" s="11"/>
      <c r="D13" s="11"/>
      <c r="E13" s="11"/>
      <c r="F13" s="11"/>
      <c r="G13" s="11"/>
    </row>
    <row r="37" spans="2:8" ht="120" customHeight="1" x14ac:dyDescent="0.25">
      <c r="B37" s="423" t="s">
        <v>1144</v>
      </c>
      <c r="C37" s="423"/>
      <c r="D37" s="423"/>
      <c r="E37" s="423"/>
      <c r="F37" s="423"/>
      <c r="G37" s="423"/>
      <c r="H37" s="423"/>
    </row>
  </sheetData>
  <mergeCells count="2">
    <mergeCell ref="B12:G12"/>
    <mergeCell ref="B37:H37"/>
  </mergeCells>
  <hyperlinks>
    <hyperlink ref="C2" r:id="rId1" xr:uid="{DEE11FD4-7000-4A7B-8E3A-FC7E9EE06679}"/>
  </hyperlinks>
  <pageMargins left="0.7" right="0.7" top="0.75" bottom="0.75" header="0.3" footer="0.3"/>
  <pageSetup paperSize="9" orientation="portrait" r:id="rId2"/>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6B7C1-9594-4E1C-BE16-64084E4B69CD}">
  <sheetPr>
    <tabColor rgb="FF44546A"/>
  </sheetPr>
  <dimension ref="A2:N35"/>
  <sheetViews>
    <sheetView workbookViewId="0">
      <selection activeCell="H8" sqref="H8"/>
    </sheetView>
  </sheetViews>
  <sheetFormatPr defaultRowHeight="15.75" x14ac:dyDescent="0.25"/>
  <cols>
    <col min="1" max="1" width="1.25" style="216" customWidth="1"/>
    <col min="3" max="3" width="16.75" customWidth="1"/>
    <col min="4" max="4" width="15.75" customWidth="1"/>
    <col min="5" max="5" width="32.25" customWidth="1"/>
    <col min="6" max="6" width="10.625" customWidth="1"/>
    <col min="7" max="7" width="20.5" customWidth="1"/>
    <col min="14" max="14" width="1.25" style="216" customWidth="1"/>
  </cols>
  <sheetData>
    <row r="2" spans="2:7" x14ac:dyDescent="0.25">
      <c r="B2" s="237" t="s">
        <v>507</v>
      </c>
      <c r="C2" s="167" t="s">
        <v>389</v>
      </c>
      <c r="D2" s="167"/>
    </row>
    <row r="4" spans="2:7" ht="21" x14ac:dyDescent="0.25">
      <c r="C4" s="402" t="s">
        <v>555</v>
      </c>
      <c r="D4" s="402"/>
      <c r="E4" s="402"/>
      <c r="F4" s="402"/>
    </row>
    <row r="5" spans="2:7" x14ac:dyDescent="0.25">
      <c r="C5" s="239" t="s">
        <v>991</v>
      </c>
      <c r="D5" s="239" t="s">
        <v>519</v>
      </c>
      <c r="E5" s="188"/>
      <c r="F5" s="188"/>
    </row>
    <row r="6" spans="2:7" x14ac:dyDescent="0.25">
      <c r="C6">
        <v>57</v>
      </c>
      <c r="D6" t="s">
        <v>52</v>
      </c>
      <c r="E6" s="14" t="s">
        <v>1145</v>
      </c>
      <c r="F6" s="29">
        <v>21</v>
      </c>
      <c r="G6" t="s">
        <v>552</v>
      </c>
    </row>
    <row r="7" spans="2:7" x14ac:dyDescent="0.25">
      <c r="C7">
        <v>57</v>
      </c>
      <c r="D7" t="s">
        <v>52</v>
      </c>
      <c r="E7" s="14" t="s">
        <v>1146</v>
      </c>
      <c r="F7" s="29">
        <v>31</v>
      </c>
      <c r="G7" t="s">
        <v>552</v>
      </c>
    </row>
    <row r="8" spans="2:7" x14ac:dyDescent="0.25">
      <c r="C8">
        <v>57</v>
      </c>
      <c r="D8" t="s">
        <v>52</v>
      </c>
      <c r="E8" s="14" t="s">
        <v>1147</v>
      </c>
      <c r="F8" s="29">
        <v>18</v>
      </c>
      <c r="G8" t="s">
        <v>552</v>
      </c>
    </row>
    <row r="9" spans="2:7" x14ac:dyDescent="0.25">
      <c r="C9">
        <v>250</v>
      </c>
      <c r="D9" t="s">
        <v>74</v>
      </c>
      <c r="E9" s="14" t="s">
        <v>1148</v>
      </c>
      <c r="F9" s="29">
        <v>36</v>
      </c>
      <c r="G9" t="s">
        <v>552</v>
      </c>
    </row>
    <row r="10" spans="2:7" x14ac:dyDescent="0.25">
      <c r="C10">
        <v>250</v>
      </c>
      <c r="D10" t="s">
        <v>74</v>
      </c>
      <c r="E10" s="14" t="s">
        <v>1149</v>
      </c>
      <c r="F10" s="29">
        <v>1.9</v>
      </c>
      <c r="G10" t="s">
        <v>552</v>
      </c>
    </row>
    <row r="11" spans="2:7" x14ac:dyDescent="0.25">
      <c r="C11">
        <v>250</v>
      </c>
      <c r="D11" t="s">
        <v>74</v>
      </c>
      <c r="E11" s="14" t="s">
        <v>1150</v>
      </c>
      <c r="F11" s="29">
        <v>6.8</v>
      </c>
      <c r="G11" t="s">
        <v>552</v>
      </c>
    </row>
    <row r="12" spans="2:7" x14ac:dyDescent="0.25">
      <c r="C12">
        <v>57</v>
      </c>
      <c r="D12" t="s">
        <v>52</v>
      </c>
      <c r="E12" s="14" t="s">
        <v>1145</v>
      </c>
      <c r="F12" s="29">
        <f>0.43/0.09</f>
        <v>4.7777777777777777</v>
      </c>
      <c r="G12" t="s">
        <v>552</v>
      </c>
    </row>
    <row r="13" spans="2:7" x14ac:dyDescent="0.25">
      <c r="C13">
        <v>57</v>
      </c>
      <c r="D13" t="s">
        <v>52</v>
      </c>
      <c r="E13" s="14" t="s">
        <v>1146</v>
      </c>
      <c r="F13" s="29">
        <f>100/3.61</f>
        <v>27.70083102493075</v>
      </c>
      <c r="G13" t="s">
        <v>552</v>
      </c>
    </row>
    <row r="14" spans="2:7" x14ac:dyDescent="0.25">
      <c r="C14">
        <v>45</v>
      </c>
      <c r="D14" t="s">
        <v>52</v>
      </c>
      <c r="E14" s="14" t="s">
        <v>1151</v>
      </c>
      <c r="F14" s="29">
        <f>2.67/0.22</f>
        <v>12.136363636363637</v>
      </c>
      <c r="G14" t="s">
        <v>552</v>
      </c>
    </row>
    <row r="15" spans="2:7" x14ac:dyDescent="0.25">
      <c r="C15">
        <v>45</v>
      </c>
      <c r="D15" t="s">
        <v>52</v>
      </c>
      <c r="E15" s="14" t="s">
        <v>1151</v>
      </c>
      <c r="F15" s="29">
        <f>3.07/0.1</f>
        <v>30.699999999999996</v>
      </c>
      <c r="G15" t="s">
        <v>552</v>
      </c>
    </row>
    <row r="16" spans="2:7" x14ac:dyDescent="0.25">
      <c r="C16">
        <v>130</v>
      </c>
      <c r="D16" t="s">
        <v>46</v>
      </c>
      <c r="E16" s="14" t="s">
        <v>1152</v>
      </c>
      <c r="F16" s="29">
        <f>1.14/0.25</f>
        <v>4.5599999999999996</v>
      </c>
      <c r="G16" t="s">
        <v>552</v>
      </c>
    </row>
    <row r="17" spans="3:7" x14ac:dyDescent="0.25">
      <c r="C17">
        <v>130</v>
      </c>
      <c r="D17" t="s">
        <v>46</v>
      </c>
      <c r="E17" s="14" t="s">
        <v>1153</v>
      </c>
      <c r="F17" s="29">
        <f>118.43/3.61</f>
        <v>32.80609418282549</v>
      </c>
      <c r="G17" t="s">
        <v>552</v>
      </c>
    </row>
    <row r="18" spans="3:7" x14ac:dyDescent="0.25">
      <c r="C18" t="s">
        <v>74</v>
      </c>
      <c r="D18" t="s">
        <v>1154</v>
      </c>
      <c r="E18" s="14" t="s">
        <v>1155</v>
      </c>
      <c r="F18" s="29">
        <f>38</f>
        <v>38</v>
      </c>
      <c r="G18" t="s">
        <v>552</v>
      </c>
    </row>
    <row r="19" spans="3:7" x14ac:dyDescent="0.25">
      <c r="C19" t="s">
        <v>74</v>
      </c>
      <c r="D19" t="s">
        <v>52</v>
      </c>
      <c r="E19" s="14" t="s">
        <v>1151</v>
      </c>
      <c r="F19" s="29">
        <v>30</v>
      </c>
      <c r="G19" t="s">
        <v>552</v>
      </c>
    </row>
    <row r="20" spans="3:7" x14ac:dyDescent="0.25">
      <c r="C20" t="s">
        <v>74</v>
      </c>
      <c r="D20" t="s">
        <v>52</v>
      </c>
      <c r="E20" s="14" t="s">
        <v>1151</v>
      </c>
      <c r="F20" s="29">
        <v>31</v>
      </c>
      <c r="G20" t="s">
        <v>552</v>
      </c>
    </row>
    <row r="35" spans="6:6" x14ac:dyDescent="0.25">
      <c r="F35" s="230" t="s">
        <v>1156</v>
      </c>
    </row>
  </sheetData>
  <mergeCells count="1">
    <mergeCell ref="C4:F4"/>
  </mergeCells>
  <hyperlinks>
    <hyperlink ref="C2" r:id="rId1" xr:uid="{762C5AC4-FDBF-4FA7-B5FA-622CBDCBE004}"/>
  </hyperlinks>
  <pageMargins left="0.7" right="0.7" top="0.75" bottom="0.75" header="0.3" footer="0.3"/>
  <pageSetup paperSize="9" orientation="portrait" r:id="rId2"/>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B457D-7C32-4690-99EB-A2CD6E9C591C}">
  <sheetPr>
    <tabColor rgb="FF44546A"/>
  </sheetPr>
  <dimension ref="A2:AA36"/>
  <sheetViews>
    <sheetView workbookViewId="0">
      <selection activeCell="I14" sqref="I14"/>
    </sheetView>
  </sheetViews>
  <sheetFormatPr defaultRowHeight="15.75" x14ac:dyDescent="0.25"/>
  <cols>
    <col min="1" max="1" width="1.25" style="216" customWidth="1"/>
    <col min="2" max="2" width="12.875" customWidth="1"/>
    <col min="5" max="5" width="10.375" customWidth="1"/>
    <col min="9" max="9" width="19.625" customWidth="1"/>
    <col min="10" max="10" width="1.25" style="216" customWidth="1"/>
    <col min="12" max="15" width="19.375" customWidth="1"/>
    <col min="17" max="17" width="15.875" customWidth="1"/>
    <col min="22" max="26" width="17.625" customWidth="1"/>
    <col min="27" max="27" width="1.25" style="216" customWidth="1"/>
  </cols>
  <sheetData>
    <row r="2" spans="2:26" x14ac:dyDescent="0.25">
      <c r="C2" s="237" t="s">
        <v>507</v>
      </c>
      <c r="D2" s="167" t="s">
        <v>408</v>
      </c>
      <c r="K2" s="237" t="s">
        <v>507</v>
      </c>
      <c r="L2" s="167" t="s">
        <v>417</v>
      </c>
    </row>
    <row r="3" spans="2:26" x14ac:dyDescent="0.25">
      <c r="L3" t="s">
        <v>1157</v>
      </c>
    </row>
    <row r="4" spans="2:26" ht="21" x14ac:dyDescent="0.25">
      <c r="C4" s="402" t="s">
        <v>1158</v>
      </c>
      <c r="D4" s="402"/>
      <c r="E4" s="402"/>
      <c r="F4" t="s">
        <v>1159</v>
      </c>
      <c r="K4" s="402" t="s">
        <v>1160</v>
      </c>
      <c r="L4" s="402"/>
      <c r="M4" s="402"/>
      <c r="V4" s="402" t="s">
        <v>1161</v>
      </c>
      <c r="W4" s="402"/>
      <c r="X4" s="402"/>
      <c r="Y4" s="402"/>
    </row>
    <row r="5" spans="2:26" ht="63" x14ac:dyDescent="0.25">
      <c r="D5" s="257" t="s">
        <v>1162</v>
      </c>
      <c r="E5" s="258" t="s">
        <v>1163</v>
      </c>
      <c r="F5" s="257" t="s">
        <v>1164</v>
      </c>
      <c r="I5" s="15" t="s">
        <v>1165</v>
      </c>
    </row>
    <row r="6" spans="2:26" ht="47.25" x14ac:dyDescent="0.25">
      <c r="B6" t="s">
        <v>1166</v>
      </c>
      <c r="C6" s="14" t="s">
        <v>1167</v>
      </c>
      <c r="D6">
        <v>3.2</v>
      </c>
      <c r="E6" s="259">
        <v>1.51</v>
      </c>
      <c r="F6">
        <v>18</v>
      </c>
      <c r="I6" s="29">
        <f>1-(D6/F6)</f>
        <v>0.82222222222222219</v>
      </c>
      <c r="L6" s="362" t="s">
        <v>1000</v>
      </c>
      <c r="M6" s="362" t="s">
        <v>1000</v>
      </c>
      <c r="N6" s="362" t="s">
        <v>552</v>
      </c>
      <c r="O6" s="362" t="s">
        <v>552</v>
      </c>
      <c r="Q6" s="218" t="s">
        <v>1168</v>
      </c>
      <c r="R6" s="218"/>
      <c r="S6" s="218"/>
      <c r="T6" s="218"/>
      <c r="U6" s="218"/>
      <c r="V6" s="361" t="s">
        <v>1055</v>
      </c>
      <c r="W6" s="361" t="s">
        <v>1055</v>
      </c>
      <c r="X6" s="361" t="s">
        <v>1056</v>
      </c>
      <c r="Y6" s="361" t="s">
        <v>1056</v>
      </c>
    </row>
    <row r="7" spans="2:26" x14ac:dyDescent="0.25">
      <c r="B7" t="s">
        <v>1169</v>
      </c>
      <c r="C7" s="14" t="s">
        <v>1170</v>
      </c>
      <c r="D7">
        <v>3.2</v>
      </c>
      <c r="E7" s="259">
        <v>2</v>
      </c>
      <c r="F7">
        <v>23</v>
      </c>
      <c r="I7" s="29">
        <f t="shared" ref="I7:I8" si="0">1-(D7/F7)</f>
        <v>0.86086956521739133</v>
      </c>
      <c r="L7" s="188" t="s">
        <v>1171</v>
      </c>
      <c r="M7" s="188" t="s">
        <v>255</v>
      </c>
      <c r="N7" s="188" t="s">
        <v>1171</v>
      </c>
      <c r="O7" s="188" t="s">
        <v>255</v>
      </c>
      <c r="Q7" s="218" t="s">
        <v>1172</v>
      </c>
      <c r="R7" s="218"/>
      <c r="S7" s="218"/>
      <c r="T7" s="218"/>
      <c r="U7" s="218"/>
      <c r="V7" s="188" t="s">
        <v>1171</v>
      </c>
      <c r="W7" s="188" t="s">
        <v>255</v>
      </c>
      <c r="X7" s="188" t="s">
        <v>1171</v>
      </c>
      <c r="Y7" s="188" t="s">
        <v>255</v>
      </c>
    </row>
    <row r="8" spans="2:26" x14ac:dyDescent="0.25">
      <c r="B8">
        <v>1999</v>
      </c>
      <c r="C8" s="14" t="s">
        <v>1173</v>
      </c>
      <c r="D8">
        <v>2.3199999999999998</v>
      </c>
      <c r="E8" s="259">
        <v>1.19</v>
      </c>
      <c r="F8">
        <v>14</v>
      </c>
      <c r="I8" s="29">
        <f t="shared" si="0"/>
        <v>0.8342857142857143</v>
      </c>
      <c r="K8" s="14">
        <v>2005</v>
      </c>
      <c r="L8">
        <v>1.46</v>
      </c>
      <c r="M8" s="215"/>
      <c r="N8" s="29">
        <f>L8*Parameters!$C$7*Parameters!$C$12/$I$11</f>
        <v>15.831325301204821</v>
      </c>
      <c r="O8" s="217"/>
      <c r="Q8" s="218" t="s">
        <v>1174</v>
      </c>
      <c r="R8" s="218"/>
      <c r="S8" s="218"/>
      <c r="T8" s="218"/>
      <c r="U8" s="14">
        <v>2005</v>
      </c>
      <c r="V8" s="363">
        <f>L8*Parameters!$C$8</f>
        <v>0.69350000000000001</v>
      </c>
      <c r="W8" s="215"/>
      <c r="X8" s="363">
        <f>V8/'Scopes ratios details'!$F$61</f>
        <v>1.035266427805583</v>
      </c>
      <c r="Y8" s="215"/>
      <c r="Z8" s="218"/>
    </row>
    <row r="9" spans="2:26" x14ac:dyDescent="0.25">
      <c r="B9" t="s">
        <v>1175</v>
      </c>
      <c r="C9" s="14" t="s">
        <v>255</v>
      </c>
      <c r="E9" s="259">
        <v>1.51</v>
      </c>
      <c r="F9">
        <v>15</v>
      </c>
      <c r="K9" s="14">
        <v>2004</v>
      </c>
      <c r="L9">
        <v>1.42</v>
      </c>
      <c r="M9">
        <v>1.61</v>
      </c>
      <c r="N9" s="29">
        <f>L9*Parameters!$C$7*Parameters!$C$12/$I$11</f>
        <v>15.397590361445783</v>
      </c>
      <c r="O9" s="29">
        <f>M9*Parameters!$C$7*Parameters!$C$12/$I$11</f>
        <v>17.457831325301207</v>
      </c>
      <c r="Q9" s="218" t="s">
        <v>1176</v>
      </c>
      <c r="R9" s="218"/>
      <c r="S9" s="218"/>
      <c r="T9" s="218"/>
      <c r="U9" s="14">
        <v>2004</v>
      </c>
      <c r="V9" s="363">
        <f>L9*Parameters!$C$8</f>
        <v>0.67449999999999999</v>
      </c>
      <c r="W9" s="363">
        <f>M9*Parameters!$C$8</f>
        <v>0.76475000000000004</v>
      </c>
      <c r="X9" s="363">
        <f>V9/'Scopes ratios details'!$F$61</f>
        <v>1.0069029640300875</v>
      </c>
      <c r="Y9" s="363">
        <f>W9/'Scopes ratios details'!$F$61</f>
        <v>1.1416294169636907</v>
      </c>
      <c r="Z9" s="218"/>
    </row>
    <row r="10" spans="2:26" x14ac:dyDescent="0.25">
      <c r="H10" t="s">
        <v>1177</v>
      </c>
      <c r="K10" s="14">
        <v>2003</v>
      </c>
      <c r="L10">
        <v>1.79</v>
      </c>
      <c r="M10">
        <v>1.39</v>
      </c>
      <c r="N10" s="29">
        <f>L10*Parameters!$C$7*Parameters!$C$12/$I$11</f>
        <v>19.409638554216869</v>
      </c>
      <c r="O10" s="29">
        <f>M10*Parameters!$C$7*Parameters!$C$12/$I$11</f>
        <v>15.072289156626507</v>
      </c>
      <c r="Q10" s="218" t="s">
        <v>1178</v>
      </c>
      <c r="R10" s="218"/>
      <c r="S10" s="218"/>
      <c r="T10" s="218"/>
      <c r="U10" s="14">
        <v>2003</v>
      </c>
      <c r="V10" s="363">
        <f>L10*Parameters!$C$8</f>
        <v>0.85024999999999995</v>
      </c>
      <c r="W10" s="363">
        <f>M10*Parameters!$C$8</f>
        <v>0.66024999999999989</v>
      </c>
      <c r="X10" s="363">
        <f>V10/'Scopes ratios details'!$F$61</f>
        <v>1.2692650039534201</v>
      </c>
      <c r="Y10" s="363">
        <f>W10/'Scopes ratios details'!$F$61</f>
        <v>0.98563036619846567</v>
      </c>
      <c r="Z10" s="218"/>
    </row>
    <row r="11" spans="2:26" x14ac:dyDescent="0.25">
      <c r="H11" s="16" t="s">
        <v>1179</v>
      </c>
      <c r="I11" s="199">
        <f>ROUND(MEDIAN(I6:I8),2)</f>
        <v>0.83</v>
      </c>
      <c r="K11" s="14">
        <v>2002</v>
      </c>
      <c r="L11">
        <v>1.83</v>
      </c>
      <c r="M11">
        <v>1.52</v>
      </c>
      <c r="N11" s="29">
        <f>L11*Parameters!$C$7*Parameters!$C$12/$I$11</f>
        <v>19.843373493975907</v>
      </c>
      <c r="O11" s="29">
        <f>M11*Parameters!$C$7*Parameters!$C$12/$I$11</f>
        <v>16.481927710843372</v>
      </c>
      <c r="Q11" s="218" t="s">
        <v>1180</v>
      </c>
      <c r="R11" s="218"/>
      <c r="S11" s="218"/>
      <c r="T11" s="218"/>
      <c r="U11" s="14">
        <v>2002</v>
      </c>
      <c r="V11" s="363">
        <f>L11*Parameters!$C$8</f>
        <v>0.86924999999999997</v>
      </c>
      <c r="W11" s="363">
        <f>M11*Parameters!$C$8</f>
        <v>0.72199999999999998</v>
      </c>
      <c r="X11" s="363">
        <f>V11/'Scopes ratios details'!$F$61</f>
        <v>1.2976284677289154</v>
      </c>
      <c r="Y11" s="363">
        <f>W11/'Scopes ratios details'!$F$61</f>
        <v>1.077811623468826</v>
      </c>
      <c r="Z11" s="218"/>
    </row>
    <row r="12" spans="2:26" x14ac:dyDescent="0.25">
      <c r="H12" s="17" t="s">
        <v>1181</v>
      </c>
      <c r="I12" s="252">
        <f>ROUND(AVERAGEA(I6:I8),2)</f>
        <v>0.84</v>
      </c>
      <c r="K12" s="14">
        <v>2001</v>
      </c>
      <c r="L12">
        <v>1.73</v>
      </c>
      <c r="M12">
        <v>1.85</v>
      </c>
      <c r="N12" s="29">
        <f>L12*Parameters!$C$7*Parameters!$C$12/$I$11</f>
        <v>18.759036144578314</v>
      </c>
      <c r="O12" s="29">
        <f>M12*Parameters!$C$7*Parameters!$C$12/$I$11</f>
        <v>20.060240963855424</v>
      </c>
      <c r="Q12" s="218" t="s">
        <v>1182</v>
      </c>
      <c r="R12" s="218"/>
      <c r="S12" s="218"/>
      <c r="T12" s="218"/>
      <c r="U12" s="14">
        <v>2001</v>
      </c>
      <c r="V12" s="363">
        <f>L12*Parameters!$C$8</f>
        <v>0.82174999999999998</v>
      </c>
      <c r="W12" s="363">
        <f>M12*Parameters!$C$8</f>
        <v>0.87875000000000003</v>
      </c>
      <c r="X12" s="363">
        <f>V12/'Scopes ratios details'!$F$61</f>
        <v>1.2267198082901769</v>
      </c>
      <c r="Y12" s="363">
        <f>W12/'Scopes ratios details'!$F$61</f>
        <v>1.3118101996166633</v>
      </c>
      <c r="Z12" s="218"/>
    </row>
    <row r="13" spans="2:26" x14ac:dyDescent="0.25">
      <c r="I13" s="29"/>
      <c r="K13" s="14">
        <v>2000</v>
      </c>
      <c r="L13">
        <v>1.23</v>
      </c>
      <c r="M13">
        <v>1.9</v>
      </c>
      <c r="N13" s="29">
        <f>L13*Parameters!$C$7*Parameters!$C$12/$I$11</f>
        <v>13.337349397590362</v>
      </c>
      <c r="O13" s="29">
        <f>M13*Parameters!$C$7*Parameters!$C$12/$I$11</f>
        <v>20.602409638554221</v>
      </c>
      <c r="Q13" s="218" t="s">
        <v>1183</v>
      </c>
      <c r="R13" s="218"/>
      <c r="S13" s="218"/>
      <c r="T13" s="218"/>
      <c r="U13" s="14">
        <v>2000</v>
      </c>
      <c r="V13" s="363">
        <f>L13*Parameters!$C$8</f>
        <v>0.58424999999999994</v>
      </c>
      <c r="W13" s="363">
        <f>M13*Parameters!$C$8</f>
        <v>0.90249999999999997</v>
      </c>
      <c r="X13" s="363">
        <f>V13/'Scopes ratios details'!$F$61</f>
        <v>0.87217651109648409</v>
      </c>
      <c r="Y13" s="363">
        <f>W13/'Scopes ratios details'!$F$61</f>
        <v>1.3472645293360324</v>
      </c>
      <c r="Z13" s="218"/>
    </row>
    <row r="14" spans="2:26" x14ac:dyDescent="0.25">
      <c r="K14" s="14">
        <v>1999</v>
      </c>
      <c r="L14">
        <v>1.45</v>
      </c>
      <c r="M14">
        <v>1.2</v>
      </c>
      <c r="N14" s="29">
        <f>L14*Parameters!$C$7*Parameters!$C$12/$I$11</f>
        <v>15.722891566265062</v>
      </c>
      <c r="O14" s="29">
        <f>M14*Parameters!$C$7*Parameters!$C$12/$I$11</f>
        <v>13.012048192771086</v>
      </c>
      <c r="Q14" s="218" t="s">
        <v>1184</v>
      </c>
      <c r="R14" s="218"/>
      <c r="S14" s="218"/>
      <c r="T14" s="218"/>
      <c r="U14" s="14">
        <v>1999</v>
      </c>
      <c r="V14" s="363">
        <f>L14*Parameters!$C$8</f>
        <v>0.68874999999999997</v>
      </c>
      <c r="W14" s="363">
        <f>M14*Parameters!$C$8</f>
        <v>0.56999999999999995</v>
      </c>
      <c r="X14" s="363">
        <f>V14/'Scopes ratios details'!$F$61</f>
        <v>1.028175561861709</v>
      </c>
      <c r="Y14" s="363">
        <f>W14/'Scopes ratios details'!$F$61</f>
        <v>0.85090391326486259</v>
      </c>
      <c r="Z14" s="218"/>
    </row>
    <row r="15" spans="2:26" ht="15.75" customHeight="1" x14ac:dyDescent="0.25">
      <c r="C15" s="384" t="s">
        <v>1185</v>
      </c>
      <c r="D15" s="384"/>
      <c r="E15" s="384"/>
      <c r="F15" s="384"/>
      <c r="G15" s="384"/>
      <c r="K15" s="14">
        <v>1998</v>
      </c>
      <c r="L15">
        <v>1.7</v>
      </c>
      <c r="M15">
        <v>1.26</v>
      </c>
      <c r="N15" s="29">
        <f>L15*Parameters!$C$7*Parameters!$C$12/$I$11</f>
        <v>18.433734939759038</v>
      </c>
      <c r="O15" s="29">
        <f>M15*Parameters!$C$7*Parameters!$C$12/$I$11</f>
        <v>13.66265060240964</v>
      </c>
      <c r="Q15" s="218" t="s">
        <v>1186</v>
      </c>
      <c r="R15" s="218"/>
      <c r="S15" s="218"/>
      <c r="T15" s="218"/>
      <c r="U15" s="14">
        <v>1998</v>
      </c>
      <c r="V15" s="363">
        <f>L15*Parameters!$C$8</f>
        <v>0.8075</v>
      </c>
      <c r="W15" s="363">
        <f>M15*Parameters!$C$8</f>
        <v>0.59849999999999992</v>
      </c>
      <c r="X15" s="363">
        <f>V15/'Scopes ratios details'!$F$61</f>
        <v>1.2054472104585554</v>
      </c>
      <c r="Y15" s="363">
        <f>W15/'Scopes ratios details'!$F$61</f>
        <v>0.8934491089281057</v>
      </c>
      <c r="Z15" s="218"/>
    </row>
    <row r="16" spans="2:26" x14ac:dyDescent="0.25">
      <c r="C16" s="384"/>
      <c r="D16" s="384"/>
      <c r="E16" s="384"/>
      <c r="F16" s="384"/>
      <c r="G16" s="384"/>
      <c r="K16" s="14">
        <v>1997</v>
      </c>
      <c r="L16">
        <v>1.67</v>
      </c>
      <c r="M16">
        <v>1.4</v>
      </c>
      <c r="N16" s="29">
        <f>L16*Parameters!$C$7*Parameters!$C$12/$I$11</f>
        <v>18.108433734939759</v>
      </c>
      <c r="O16" s="29">
        <f>M16*Parameters!$C$7*Parameters!$C$12/$I$11</f>
        <v>15.180722891566266</v>
      </c>
      <c r="Q16" s="218" t="s">
        <v>1187</v>
      </c>
      <c r="R16" s="218"/>
      <c r="S16" s="218"/>
      <c r="T16" s="218"/>
      <c r="U16" s="14">
        <v>1997</v>
      </c>
      <c r="V16" s="363">
        <f>L16*Parameters!$C$8</f>
        <v>0.7932499999999999</v>
      </c>
      <c r="W16" s="363">
        <f>M16*Parameters!$C$8</f>
        <v>0.66499999999999992</v>
      </c>
      <c r="X16" s="363">
        <f>V16/'Scopes ratios details'!$F$61</f>
        <v>1.1841746126269337</v>
      </c>
      <c r="Y16" s="363">
        <f>W16/'Scopes ratios details'!$F$61</f>
        <v>0.99272123214233965</v>
      </c>
      <c r="Z16" s="218"/>
    </row>
    <row r="17" spans="3:26" x14ac:dyDescent="0.25">
      <c r="C17" s="384"/>
      <c r="D17" s="384"/>
      <c r="E17" s="384"/>
      <c r="F17" s="384"/>
      <c r="G17" s="384"/>
      <c r="K17" s="14">
        <v>1996</v>
      </c>
      <c r="L17">
        <v>1.46</v>
      </c>
      <c r="M17" s="215"/>
      <c r="N17" s="29">
        <f>L17*Parameters!$C$7*Parameters!$C$12/$I$11</f>
        <v>15.831325301204821</v>
      </c>
      <c r="O17" s="217"/>
      <c r="Q17" s="218"/>
      <c r="R17" s="218"/>
      <c r="S17" s="218"/>
      <c r="T17" s="218"/>
      <c r="U17" s="14">
        <v>1996</v>
      </c>
      <c r="V17" s="363">
        <f>L17*Parameters!$C$8</f>
        <v>0.69350000000000001</v>
      </c>
      <c r="W17" s="215"/>
      <c r="X17" s="363">
        <f>V17/'Scopes ratios details'!$F$61</f>
        <v>1.035266427805583</v>
      </c>
      <c r="Y17" s="215"/>
      <c r="Z17" s="218"/>
    </row>
    <row r="18" spans="3:26" x14ac:dyDescent="0.25">
      <c r="C18" s="384"/>
      <c r="D18" s="384"/>
      <c r="E18" s="384"/>
      <c r="F18" s="384"/>
      <c r="G18" s="384"/>
      <c r="K18" s="14">
        <v>1995</v>
      </c>
      <c r="L18">
        <v>1.45</v>
      </c>
      <c r="M18" s="215"/>
      <c r="N18" s="29">
        <f>L18*Parameters!$C$7*Parameters!$C$12/$I$11</f>
        <v>15.722891566265062</v>
      </c>
      <c r="O18" s="217"/>
      <c r="Q18" s="218" t="s">
        <v>1188</v>
      </c>
      <c r="R18" s="218"/>
      <c r="S18" s="218"/>
      <c r="T18" s="218"/>
      <c r="U18" s="14">
        <v>1995</v>
      </c>
      <c r="V18" s="363">
        <f>L18*Parameters!$C$8</f>
        <v>0.68874999999999997</v>
      </c>
      <c r="W18" s="215"/>
      <c r="X18" s="363">
        <f>V18/'Scopes ratios details'!$F$61</f>
        <v>1.028175561861709</v>
      </c>
      <c r="Y18" s="215"/>
      <c r="Z18" s="218"/>
    </row>
    <row r="19" spans="3:26" x14ac:dyDescent="0.25">
      <c r="C19" s="384"/>
      <c r="D19" s="384"/>
      <c r="E19" s="384"/>
      <c r="F19" s="384"/>
      <c r="G19" s="384"/>
      <c r="Q19" s="218" t="s">
        <v>1189</v>
      </c>
      <c r="R19" s="218"/>
      <c r="S19" s="218"/>
      <c r="T19" s="218"/>
      <c r="U19" s="218"/>
      <c r="V19" s="218"/>
      <c r="W19" s="218"/>
      <c r="X19" s="218"/>
      <c r="Y19" s="218"/>
      <c r="Z19" s="218"/>
    </row>
    <row r="20" spans="3:26" x14ac:dyDescent="0.25">
      <c r="C20" s="384"/>
      <c r="D20" s="384"/>
      <c r="E20" s="384"/>
      <c r="F20" s="384"/>
      <c r="G20" s="384"/>
      <c r="Q20" s="218" t="s">
        <v>1190</v>
      </c>
      <c r="R20" s="218"/>
      <c r="S20" s="218"/>
      <c r="T20" s="218"/>
      <c r="U20" s="218"/>
      <c r="V20" s="218"/>
      <c r="W20" s="218"/>
      <c r="X20" s="218"/>
      <c r="Y20" s="218"/>
      <c r="Z20" s="218"/>
    </row>
    <row r="21" spans="3:26" x14ac:dyDescent="0.25">
      <c r="C21" s="384"/>
      <c r="D21" s="384"/>
      <c r="E21" s="384"/>
      <c r="F21" s="384"/>
      <c r="G21" s="384"/>
      <c r="Q21" s="218" t="s">
        <v>1191</v>
      </c>
      <c r="R21" s="218"/>
      <c r="S21" s="218"/>
      <c r="T21" s="218"/>
      <c r="U21" s="218"/>
      <c r="V21" s="218"/>
      <c r="W21" s="218"/>
      <c r="X21" s="218"/>
      <c r="Y21" s="218"/>
      <c r="Z21" s="218"/>
    </row>
    <row r="22" spans="3:26" x14ac:dyDescent="0.25">
      <c r="C22" s="384"/>
      <c r="D22" s="384"/>
      <c r="E22" s="384"/>
      <c r="F22" s="384"/>
      <c r="G22" s="384"/>
      <c r="Q22" s="218" t="s">
        <v>1192</v>
      </c>
      <c r="R22" s="218"/>
      <c r="S22" s="218"/>
      <c r="T22" s="218"/>
      <c r="U22" s="218"/>
      <c r="V22" s="218"/>
      <c r="W22" s="218"/>
      <c r="X22" s="218"/>
      <c r="Y22" s="218"/>
      <c r="Z22" s="218"/>
    </row>
    <row r="23" spans="3:26" x14ac:dyDescent="0.25">
      <c r="C23" s="384"/>
      <c r="D23" s="384"/>
      <c r="E23" s="384"/>
      <c r="F23" s="384"/>
      <c r="G23" s="384"/>
      <c r="Q23" s="218" t="s">
        <v>1193</v>
      </c>
      <c r="R23" s="218"/>
      <c r="S23" s="218"/>
      <c r="T23" s="218"/>
      <c r="U23" s="218"/>
      <c r="V23" s="218"/>
      <c r="W23" s="218"/>
      <c r="X23" s="218"/>
      <c r="Y23" s="218"/>
      <c r="Z23" s="218"/>
    </row>
    <row r="24" spans="3:26" x14ac:dyDescent="0.25">
      <c r="C24" t="s">
        <v>1194</v>
      </c>
      <c r="Q24" s="218" t="s">
        <v>1195</v>
      </c>
      <c r="R24" s="218"/>
      <c r="S24" s="218"/>
      <c r="T24" s="218"/>
      <c r="U24" s="218"/>
      <c r="V24" s="218"/>
      <c r="W24" s="218"/>
      <c r="X24" s="218"/>
      <c r="Y24" s="218"/>
      <c r="Z24" s="218"/>
    </row>
    <row r="25" spans="3:26" x14ac:dyDescent="0.25">
      <c r="Q25" s="218" t="s">
        <v>1196</v>
      </c>
      <c r="R25" s="218"/>
      <c r="S25" s="218"/>
      <c r="T25" s="218"/>
      <c r="U25" s="218"/>
      <c r="V25" s="218"/>
      <c r="W25" s="218"/>
      <c r="X25" s="218"/>
      <c r="Y25" s="218"/>
      <c r="Z25" s="218"/>
    </row>
    <row r="28" spans="3:26" x14ac:dyDescent="0.25">
      <c r="L28" s="365" t="s">
        <v>1000</v>
      </c>
      <c r="M28" s="362" t="s">
        <v>1000</v>
      </c>
      <c r="N28" s="362" t="s">
        <v>552</v>
      </c>
    </row>
    <row r="29" spans="3:26" x14ac:dyDescent="0.25">
      <c r="L29" s="364" t="s">
        <v>1197</v>
      </c>
      <c r="M29" s="188" t="s">
        <v>1198</v>
      </c>
      <c r="N29" s="188" t="s">
        <v>1198</v>
      </c>
      <c r="W29" s="14" t="s">
        <v>1198</v>
      </c>
    </row>
    <row r="30" spans="3:26" x14ac:dyDescent="0.25">
      <c r="K30" s="14">
        <v>2008</v>
      </c>
      <c r="L30" s="218">
        <f>1.43</f>
        <v>1.43</v>
      </c>
      <c r="M30">
        <v>1.23</v>
      </c>
      <c r="N30" s="29">
        <f>M30*Parameters!$C$7*Parameters!$C$12/$I$11</f>
        <v>13.337349397590362</v>
      </c>
      <c r="U30" s="14">
        <v>2008</v>
      </c>
      <c r="W30" s="363">
        <f>M30*Parameters!$C$8</f>
        <v>0.58424999999999994</v>
      </c>
      <c r="Y30" s="363">
        <f>W30/'Scopes ratios details'!$F$61</f>
        <v>0.87217651109648409</v>
      </c>
    </row>
    <row r="31" spans="3:26" x14ac:dyDescent="0.25">
      <c r="L31" s="218" t="s">
        <v>1199</v>
      </c>
    </row>
    <row r="36" spans="11:16" ht="182.25" customHeight="1" x14ac:dyDescent="0.25">
      <c r="K36" s="384" t="s">
        <v>1200</v>
      </c>
      <c r="L36" s="384"/>
      <c r="M36" s="384"/>
      <c r="N36" s="384"/>
      <c r="O36" s="384"/>
      <c r="P36" s="384"/>
    </row>
  </sheetData>
  <mergeCells count="5">
    <mergeCell ref="V4:Y4"/>
    <mergeCell ref="K36:P36"/>
    <mergeCell ref="C4:E4"/>
    <mergeCell ref="K4:M4"/>
    <mergeCell ref="C15:G23"/>
  </mergeCells>
  <hyperlinks>
    <hyperlink ref="L2" r:id="rId1" xr:uid="{B5F6D008-CEC2-47C1-B16E-926CAE523EA8}"/>
    <hyperlink ref="D2" r:id="rId2" xr:uid="{AD49C031-0BE7-4466-9EF5-5DE519D64060}"/>
  </hyperlinks>
  <pageMargins left="0.7" right="0.7" top="0.75" bottom="0.75" header="0.3" footer="0.3"/>
  <pageSetup paperSize="9" orientation="portrait" r:id="rId3"/>
  <drawing r:id="rId4"/>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0783A9-5748-43EE-930A-E5DF667607DB}">
  <sheetPr>
    <tabColor rgb="FF44546A"/>
  </sheetPr>
  <dimension ref="A2:K11"/>
  <sheetViews>
    <sheetView workbookViewId="0">
      <selection activeCell="F20" sqref="F20"/>
    </sheetView>
  </sheetViews>
  <sheetFormatPr defaultRowHeight="15.75" x14ac:dyDescent="0.25"/>
  <cols>
    <col min="1" max="1" width="1.25" style="216" customWidth="1"/>
    <col min="3" max="3" width="24.625" customWidth="1"/>
    <col min="6" max="6" width="45.5" customWidth="1"/>
    <col min="8" max="8" width="32.5" customWidth="1"/>
    <col min="9" max="9" width="16" customWidth="1"/>
    <col min="11" max="11" width="1.25" style="216" customWidth="1"/>
  </cols>
  <sheetData>
    <row r="2" spans="2:9" x14ac:dyDescent="0.25">
      <c r="B2" s="237" t="s">
        <v>507</v>
      </c>
      <c r="C2" s="167" t="s">
        <v>175</v>
      </c>
    </row>
    <row r="4" spans="2:9" ht="21" x14ac:dyDescent="0.25">
      <c r="B4" s="402" t="s">
        <v>555</v>
      </c>
      <c r="C4" s="402"/>
      <c r="D4" s="402"/>
      <c r="G4" s="402" t="s">
        <v>983</v>
      </c>
      <c r="H4" s="402"/>
      <c r="I4" s="402"/>
    </row>
    <row r="5" spans="2:9" x14ac:dyDescent="0.25">
      <c r="B5" s="255"/>
      <c r="C5" s="253"/>
      <c r="D5" s="253" t="s">
        <v>1000</v>
      </c>
      <c r="E5" s="253" t="s">
        <v>552</v>
      </c>
      <c r="G5" s="255"/>
      <c r="H5" s="253"/>
      <c r="I5" s="254" t="s">
        <v>550</v>
      </c>
    </row>
    <row r="6" spans="2:9" x14ac:dyDescent="0.25">
      <c r="B6">
        <v>2016</v>
      </c>
      <c r="C6" s="14" t="s">
        <v>1201</v>
      </c>
      <c r="D6" s="219">
        <v>2</v>
      </c>
      <c r="E6" s="220">
        <f>D6*Parameters!$C$12*Parameters!$C$3</f>
        <v>18</v>
      </c>
      <c r="G6">
        <v>2016</v>
      </c>
      <c r="H6" s="14" t="s">
        <v>1202</v>
      </c>
      <c r="I6">
        <v>3.5</v>
      </c>
    </row>
    <row r="7" spans="2:9" x14ac:dyDescent="0.25">
      <c r="B7">
        <v>2016</v>
      </c>
      <c r="C7" s="14" t="s">
        <v>1203</v>
      </c>
      <c r="D7" s="219">
        <v>3</v>
      </c>
      <c r="E7" s="220">
        <f>D7*Parameters!$C$12*Parameters!$C$3</f>
        <v>27</v>
      </c>
      <c r="G7">
        <v>2016</v>
      </c>
      <c r="H7" s="14" t="s">
        <v>1204</v>
      </c>
      <c r="I7">
        <v>4</v>
      </c>
    </row>
    <row r="8" spans="2:9" x14ac:dyDescent="0.25">
      <c r="B8">
        <v>1995</v>
      </c>
      <c r="C8" s="14" t="s">
        <v>1205</v>
      </c>
      <c r="D8" s="78">
        <v>2</v>
      </c>
      <c r="E8" s="220">
        <f>D8*Parameters!$C$12*Parameters!$C$3/'Deng data'!$I$11</f>
        <v>21.686746987951807</v>
      </c>
      <c r="G8">
        <v>2016</v>
      </c>
      <c r="H8" s="14" t="s">
        <v>1206</v>
      </c>
      <c r="I8">
        <v>3</v>
      </c>
    </row>
    <row r="9" spans="2:9" x14ac:dyDescent="0.25">
      <c r="B9">
        <v>1995</v>
      </c>
      <c r="C9" s="14" t="s">
        <v>1207</v>
      </c>
      <c r="D9" s="78">
        <v>4</v>
      </c>
      <c r="E9" s="220">
        <f>D9*Parameters!$C$12*Parameters!$C$3/'Deng data'!$I$11</f>
        <v>43.373493975903614</v>
      </c>
      <c r="G9">
        <v>1995</v>
      </c>
      <c r="H9" s="14" t="s">
        <v>1208</v>
      </c>
      <c r="I9">
        <v>1</v>
      </c>
    </row>
    <row r="10" spans="2:9" x14ac:dyDescent="0.25">
      <c r="B10">
        <v>1995</v>
      </c>
      <c r="C10" s="14" t="s">
        <v>1209</v>
      </c>
      <c r="D10" s="78">
        <v>3</v>
      </c>
      <c r="E10" s="220">
        <f>D10*Parameters!$C$12*Parameters!$C$3/'Deng data'!$I$11</f>
        <v>32.53012048192771</v>
      </c>
      <c r="G10">
        <v>1995</v>
      </c>
      <c r="H10" s="14" t="s">
        <v>1210</v>
      </c>
      <c r="I10">
        <v>1.5</v>
      </c>
    </row>
    <row r="11" spans="2:9" x14ac:dyDescent="0.25">
      <c r="B11">
        <v>1995</v>
      </c>
      <c r="C11" s="14" t="s">
        <v>1211</v>
      </c>
      <c r="D11" s="78">
        <v>10</v>
      </c>
      <c r="E11" s="220">
        <f>D11*Parameters!$C$12*Parameters!$C$3/'Deng data'!$I$11</f>
        <v>108.43373493975903</v>
      </c>
      <c r="F11" s="230" t="s">
        <v>1212</v>
      </c>
    </row>
  </sheetData>
  <mergeCells count="2">
    <mergeCell ref="B4:D4"/>
    <mergeCell ref="G4:I4"/>
  </mergeCells>
  <hyperlinks>
    <hyperlink ref="C2" r:id="rId1" xr:uid="{07AB3B92-3C2C-4273-AEF2-610E6CD4B3F3}"/>
  </hyperlinks>
  <pageMargins left="0.7" right="0.7" top="0.75" bottom="0.75" header="0.3" footer="0.3"/>
  <pageSetup paperSize="9" orientation="portrait" r:id="rId2"/>
  <drawing r:id="rId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819C83-A370-45ED-81CD-CCA99FA5DE2D}">
  <sheetPr>
    <tabColor rgb="FF44546A"/>
  </sheetPr>
  <dimension ref="A2:Q16"/>
  <sheetViews>
    <sheetView workbookViewId="0">
      <selection activeCell="H8" sqref="H8:H14"/>
    </sheetView>
  </sheetViews>
  <sheetFormatPr defaultRowHeight="15.75" x14ac:dyDescent="0.25"/>
  <cols>
    <col min="1" max="1" width="1.25" style="216" customWidth="1"/>
    <col min="3" max="3" width="25.5" customWidth="1"/>
    <col min="4" max="4" width="18.75" customWidth="1"/>
    <col min="5" max="5" width="14.75" customWidth="1"/>
    <col min="8" max="8" width="27.375" customWidth="1"/>
    <col min="9" max="9" width="19.5" customWidth="1"/>
    <col min="10" max="10" width="17.25" customWidth="1"/>
    <col min="17" max="17" width="1.25" style="216" customWidth="1"/>
  </cols>
  <sheetData>
    <row r="2" spans="2:10" x14ac:dyDescent="0.25">
      <c r="B2" s="237" t="s">
        <v>507</v>
      </c>
      <c r="C2" s="167" t="s">
        <v>733</v>
      </c>
      <c r="D2" s="167"/>
    </row>
    <row r="4" spans="2:10" ht="21" x14ac:dyDescent="0.25">
      <c r="B4" s="402" t="s">
        <v>555</v>
      </c>
      <c r="C4" s="402"/>
      <c r="D4" s="301"/>
      <c r="G4" s="402" t="s">
        <v>983</v>
      </c>
      <c r="H4" s="402"/>
      <c r="I4" s="402"/>
      <c r="J4" s="402"/>
    </row>
    <row r="5" spans="2:10" x14ac:dyDescent="0.25">
      <c r="B5" s="255"/>
      <c r="C5" s="253"/>
      <c r="D5" s="253" t="s">
        <v>991</v>
      </c>
      <c r="E5" s="253" t="s">
        <v>552</v>
      </c>
      <c r="G5" s="255"/>
      <c r="H5" s="253"/>
      <c r="I5" s="253" t="s">
        <v>991</v>
      </c>
      <c r="J5" s="254" t="s">
        <v>550</v>
      </c>
    </row>
    <row r="6" spans="2:10" x14ac:dyDescent="0.25">
      <c r="B6">
        <v>2001</v>
      </c>
      <c r="C6" s="14" t="s">
        <v>1213</v>
      </c>
      <c r="D6" s="312" t="s">
        <v>74</v>
      </c>
      <c r="E6" s="220">
        <v>55.7</v>
      </c>
      <c r="G6">
        <v>2001</v>
      </c>
      <c r="H6" s="14" t="s">
        <v>1213</v>
      </c>
      <c r="I6" s="312" t="s">
        <v>74</v>
      </c>
      <c r="J6">
        <v>3.57</v>
      </c>
    </row>
    <row r="7" spans="2:10" x14ac:dyDescent="0.25">
      <c r="B7">
        <v>2010</v>
      </c>
      <c r="C7" s="14" t="s">
        <v>1213</v>
      </c>
      <c r="D7" s="312" t="s">
        <v>74</v>
      </c>
      <c r="E7" s="220">
        <v>79.599999999999994</v>
      </c>
      <c r="G7">
        <v>2010</v>
      </c>
      <c r="H7" s="14" t="s">
        <v>1213</v>
      </c>
      <c r="I7" s="312" t="s">
        <v>74</v>
      </c>
      <c r="J7">
        <v>5.41</v>
      </c>
    </row>
    <row r="8" spans="2:10" x14ac:dyDescent="0.25">
      <c r="C8" s="14" t="s">
        <v>1214</v>
      </c>
      <c r="D8" s="14">
        <v>350</v>
      </c>
      <c r="E8" s="220">
        <v>94</v>
      </c>
      <c r="H8" s="14" t="s">
        <v>1214</v>
      </c>
      <c r="I8" s="14">
        <v>350</v>
      </c>
      <c r="J8">
        <v>6.6</v>
      </c>
    </row>
    <row r="9" spans="2:10" x14ac:dyDescent="0.25">
      <c r="C9" s="14" t="s">
        <v>1214</v>
      </c>
      <c r="D9" s="14">
        <v>250</v>
      </c>
      <c r="E9" s="220">
        <v>75</v>
      </c>
      <c r="H9" s="14" t="s">
        <v>1214</v>
      </c>
      <c r="I9" s="14">
        <v>250</v>
      </c>
      <c r="J9">
        <v>4.7</v>
      </c>
    </row>
    <row r="10" spans="2:10" x14ac:dyDescent="0.25">
      <c r="C10" s="14" t="s">
        <v>1214</v>
      </c>
      <c r="D10" s="14">
        <v>180</v>
      </c>
      <c r="E10" s="220">
        <v>71</v>
      </c>
      <c r="H10" s="14" t="s">
        <v>1214</v>
      </c>
      <c r="I10" s="14">
        <v>180</v>
      </c>
      <c r="J10">
        <v>4.8</v>
      </c>
    </row>
    <row r="11" spans="2:10" x14ac:dyDescent="0.25">
      <c r="C11" s="14" t="s">
        <v>1214</v>
      </c>
      <c r="D11" s="14">
        <v>130</v>
      </c>
      <c r="E11" s="220">
        <v>56</v>
      </c>
      <c r="H11" s="14" t="s">
        <v>1214</v>
      </c>
      <c r="I11" s="14">
        <v>130</v>
      </c>
      <c r="J11">
        <v>3.6</v>
      </c>
    </row>
    <row r="12" spans="2:10" x14ac:dyDescent="0.25">
      <c r="C12" s="14" t="s">
        <v>1214</v>
      </c>
      <c r="D12" s="14">
        <v>90</v>
      </c>
      <c r="E12">
        <v>57</v>
      </c>
      <c r="H12" s="14" t="s">
        <v>1214</v>
      </c>
      <c r="I12" s="14">
        <v>90</v>
      </c>
      <c r="J12">
        <v>4.3</v>
      </c>
    </row>
    <row r="13" spans="2:10" x14ac:dyDescent="0.25">
      <c r="C13" s="14" t="s">
        <v>1214</v>
      </c>
      <c r="D13" s="14">
        <v>65</v>
      </c>
      <c r="E13">
        <v>64</v>
      </c>
      <c r="H13" s="14" t="s">
        <v>1214</v>
      </c>
      <c r="I13" s="14">
        <v>65</v>
      </c>
      <c r="J13">
        <v>4.3</v>
      </c>
    </row>
    <row r="14" spans="2:10" x14ac:dyDescent="0.25">
      <c r="C14" s="14" t="s">
        <v>1214</v>
      </c>
      <c r="D14" s="14">
        <v>45</v>
      </c>
      <c r="E14">
        <v>80</v>
      </c>
      <c r="H14" s="14" t="s">
        <v>1214</v>
      </c>
      <c r="I14" s="14">
        <v>45</v>
      </c>
      <c r="J14">
        <v>5.4</v>
      </c>
    </row>
    <row r="16" spans="2:10" x14ac:dyDescent="0.25">
      <c r="C16" s="233" t="s">
        <v>1092</v>
      </c>
      <c r="D16" s="233"/>
    </row>
  </sheetData>
  <mergeCells count="2">
    <mergeCell ref="B4:C4"/>
    <mergeCell ref="G4:J4"/>
  </mergeCells>
  <hyperlinks>
    <hyperlink ref="C2" r:id="rId1" xr:uid="{B2AC9A2A-B5A7-419E-9CB9-ECCC15AF528C}"/>
  </hyperlinks>
  <pageMargins left="0.7" right="0.7" top="0.75" bottom="0.75" header="0.3" footer="0.3"/>
  <pageSetup paperSize="9" orientation="portrait" r:id="rId2"/>
  <drawing r:id="rId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70800E-7D9A-4B92-8768-F3614904F48C}">
  <sheetPr>
    <tabColor rgb="FF44546A"/>
  </sheetPr>
  <dimension ref="A2:AB33"/>
  <sheetViews>
    <sheetView workbookViewId="0">
      <selection activeCell="N4" sqref="N4:S4"/>
    </sheetView>
  </sheetViews>
  <sheetFormatPr defaultRowHeight="15.75" x14ac:dyDescent="0.25"/>
  <cols>
    <col min="1" max="1" width="1.25" style="216" customWidth="1"/>
    <col min="5" max="8" width="11.875" customWidth="1"/>
    <col min="13" max="13" width="1.25" style="216" customWidth="1"/>
    <col min="17" max="19" width="13.75" customWidth="1"/>
    <col min="21" max="21" width="1.25" style="216" customWidth="1"/>
  </cols>
  <sheetData>
    <row r="2" spans="2:19" x14ac:dyDescent="0.25">
      <c r="B2" s="237" t="s">
        <v>507</v>
      </c>
      <c r="C2" s="167" t="s">
        <v>864</v>
      </c>
      <c r="N2" s="237" t="s">
        <v>507</v>
      </c>
      <c r="O2" s="167" t="s">
        <v>155</v>
      </c>
    </row>
    <row r="3" spans="2:19" x14ac:dyDescent="0.25">
      <c r="E3" t="s">
        <v>1215</v>
      </c>
      <c r="F3" t="s">
        <v>1216</v>
      </c>
      <c r="G3" t="s">
        <v>1215</v>
      </c>
      <c r="Q3" t="s">
        <v>1215</v>
      </c>
      <c r="S3" t="s">
        <v>1215</v>
      </c>
    </row>
    <row r="4" spans="2:19" ht="21" x14ac:dyDescent="0.25">
      <c r="B4" s="402" t="s">
        <v>1217</v>
      </c>
      <c r="C4" s="402"/>
      <c r="D4" s="402"/>
      <c r="E4" s="402"/>
      <c r="F4" s="402"/>
      <c r="G4" s="402"/>
      <c r="N4" s="402" t="s">
        <v>1217</v>
      </c>
      <c r="O4" s="402"/>
      <c r="P4" s="402"/>
      <c r="Q4" s="402"/>
      <c r="R4" s="402"/>
      <c r="S4" s="402"/>
    </row>
    <row r="5" spans="2:19" x14ac:dyDescent="0.25">
      <c r="C5" s="256" t="s">
        <v>1218</v>
      </c>
      <c r="D5" s="256"/>
      <c r="E5" s="256" t="s">
        <v>552</v>
      </c>
      <c r="F5" s="256" t="s">
        <v>552</v>
      </c>
      <c r="G5" s="256" t="s">
        <v>550</v>
      </c>
      <c r="H5" s="15"/>
      <c r="O5" s="256" t="s">
        <v>1218</v>
      </c>
      <c r="P5" s="256"/>
      <c r="Q5" s="256" t="s">
        <v>552</v>
      </c>
      <c r="R5" s="239"/>
      <c r="S5" s="256" t="s">
        <v>550</v>
      </c>
    </row>
    <row r="6" spans="2:19" x14ac:dyDescent="0.25">
      <c r="C6" s="14">
        <v>350</v>
      </c>
      <c r="E6">
        <f>0.93*100</f>
        <v>93</v>
      </c>
      <c r="F6" s="229"/>
      <c r="G6">
        <v>7</v>
      </c>
      <c r="O6" s="14">
        <v>350</v>
      </c>
      <c r="Q6">
        <v>95.59</v>
      </c>
      <c r="S6">
        <v>6.41</v>
      </c>
    </row>
    <row r="7" spans="2:19" x14ac:dyDescent="0.25">
      <c r="C7" s="14">
        <v>250</v>
      </c>
      <c r="E7">
        <v>73</v>
      </c>
      <c r="F7" s="229"/>
      <c r="G7">
        <v>5</v>
      </c>
      <c r="O7" s="14">
        <v>250</v>
      </c>
      <c r="Q7">
        <v>75.78</v>
      </c>
      <c r="S7">
        <v>4.38</v>
      </c>
    </row>
    <row r="8" spans="2:19" x14ac:dyDescent="0.25">
      <c r="C8" s="14">
        <v>180</v>
      </c>
      <c r="E8">
        <v>67</v>
      </c>
      <c r="F8" s="229"/>
      <c r="G8">
        <v>5</v>
      </c>
      <c r="O8" s="14">
        <v>180</v>
      </c>
      <c r="Q8">
        <v>70.63</v>
      </c>
      <c r="S8">
        <v>4.9400000000000004</v>
      </c>
    </row>
    <row r="9" spans="2:19" x14ac:dyDescent="0.25">
      <c r="C9" s="14">
        <v>130</v>
      </c>
      <c r="E9">
        <v>53</v>
      </c>
      <c r="F9" s="229"/>
      <c r="G9">
        <v>4</v>
      </c>
      <c r="O9" s="14">
        <v>130</v>
      </c>
      <c r="Q9">
        <v>55.8</v>
      </c>
      <c r="S9">
        <v>3.41</v>
      </c>
    </row>
    <row r="10" spans="2:19" x14ac:dyDescent="0.25">
      <c r="C10" s="14">
        <v>90</v>
      </c>
      <c r="E10">
        <v>58</v>
      </c>
      <c r="F10" s="27">
        <f>124/2.07</f>
        <v>59.90338164251208</v>
      </c>
      <c r="G10">
        <v>4</v>
      </c>
      <c r="H10" s="218"/>
      <c r="I10" s="218"/>
      <c r="O10" s="14">
        <v>90</v>
      </c>
      <c r="Q10">
        <v>60.6</v>
      </c>
      <c r="S10">
        <v>4.1500000000000004</v>
      </c>
    </row>
    <row r="11" spans="2:19" x14ac:dyDescent="0.25">
      <c r="C11" s="14">
        <v>65</v>
      </c>
      <c r="E11">
        <v>62</v>
      </c>
      <c r="F11" s="27">
        <f>148/2.27</f>
        <v>65.198237885462561</v>
      </c>
      <c r="G11">
        <v>4</v>
      </c>
      <c r="H11" s="218"/>
      <c r="I11" s="218"/>
      <c r="O11" s="14">
        <v>65</v>
      </c>
      <c r="Q11">
        <v>65.66</v>
      </c>
      <c r="S11">
        <v>4.09</v>
      </c>
    </row>
    <row r="12" spans="2:19" x14ac:dyDescent="0.25">
      <c r="C12" s="14">
        <v>45</v>
      </c>
      <c r="E12">
        <v>77</v>
      </c>
      <c r="F12" s="27">
        <f>164/2.07</f>
        <v>79.227053140096629</v>
      </c>
      <c r="G12">
        <v>6</v>
      </c>
      <c r="H12" s="218"/>
      <c r="I12" s="218"/>
      <c r="O12" s="14">
        <v>45</v>
      </c>
      <c r="Q12">
        <v>80.67</v>
      </c>
      <c r="S12">
        <v>5.49</v>
      </c>
    </row>
    <row r="13" spans="2:19" x14ac:dyDescent="0.25">
      <c r="C13" s="230">
        <v>28</v>
      </c>
      <c r="D13" s="231"/>
      <c r="E13" s="231">
        <v>378</v>
      </c>
      <c r="F13" s="232">
        <f>598/1.58</f>
        <v>378.48101265822783</v>
      </c>
      <c r="G13" s="231">
        <v>50</v>
      </c>
      <c r="H13" s="218"/>
      <c r="O13" s="230">
        <v>28</v>
      </c>
      <c r="P13" s="231"/>
      <c r="Q13" s="231">
        <v>378</v>
      </c>
      <c r="S13" s="231">
        <v>50</v>
      </c>
    </row>
    <row r="14" spans="2:19" x14ac:dyDescent="0.25">
      <c r="H14" s="218"/>
      <c r="I14" s="218"/>
    </row>
    <row r="15" spans="2:19" x14ac:dyDescent="0.25">
      <c r="H15" s="218"/>
      <c r="I15" s="218"/>
    </row>
    <row r="16" spans="2:19" ht="136.5" customHeight="1" x14ac:dyDescent="0.25">
      <c r="C16" s="421" t="s">
        <v>1219</v>
      </c>
      <c r="D16" s="424"/>
      <c r="E16" s="424"/>
      <c r="F16" s="424"/>
      <c r="H16" s="218"/>
      <c r="I16" s="218"/>
      <c r="O16" s="403" t="s">
        <v>1220</v>
      </c>
      <c r="P16" s="403"/>
      <c r="Q16" s="403"/>
      <c r="R16" s="403"/>
      <c r="S16" s="403"/>
    </row>
    <row r="17" spans="3:28" x14ac:dyDescent="0.25">
      <c r="C17" s="424"/>
      <c r="D17" s="424"/>
      <c r="E17" s="424"/>
      <c r="F17" s="424"/>
      <c r="H17" s="218"/>
      <c r="I17" s="218"/>
      <c r="O17" s="234"/>
      <c r="P17" s="234"/>
      <c r="Q17" s="234"/>
      <c r="R17" s="234"/>
    </row>
    <row r="18" spans="3:28" x14ac:dyDescent="0.25">
      <c r="C18" s="424"/>
      <c r="D18" s="424"/>
      <c r="E18" s="424"/>
      <c r="F18" s="424"/>
      <c r="L18" s="218"/>
      <c r="O18" s="234"/>
      <c r="P18" s="234"/>
      <c r="Q18" s="234"/>
      <c r="R18" s="234"/>
    </row>
    <row r="19" spans="3:28" x14ac:dyDescent="0.25">
      <c r="C19" s="424"/>
      <c r="D19" s="424"/>
      <c r="E19" s="424"/>
      <c r="F19" s="424"/>
      <c r="L19" s="218"/>
      <c r="O19" s="234"/>
      <c r="P19" s="234"/>
      <c r="Q19" s="234"/>
      <c r="R19" s="234"/>
    </row>
    <row r="20" spans="3:28" ht="18" customHeight="1" x14ac:dyDescent="0.25">
      <c r="C20" s="424"/>
      <c r="D20" s="424"/>
      <c r="E20" s="424"/>
      <c r="F20" s="424"/>
      <c r="L20" s="218"/>
      <c r="O20" s="230"/>
      <c r="P20" s="230"/>
      <c r="Q20" s="230"/>
      <c r="R20" s="230"/>
    </row>
    <row r="21" spans="3:28" x14ac:dyDescent="0.25">
      <c r="L21" s="218"/>
    </row>
    <row r="22" spans="3:28" x14ac:dyDescent="0.25">
      <c r="L22" s="218"/>
    </row>
    <row r="23" spans="3:28" x14ac:dyDescent="0.25">
      <c r="I23" s="233" t="s">
        <v>1092</v>
      </c>
      <c r="L23" s="218"/>
    </row>
    <row r="24" spans="3:28" x14ac:dyDescent="0.25">
      <c r="L24" s="218"/>
      <c r="T24" s="233" t="s">
        <v>1092</v>
      </c>
    </row>
    <row r="25" spans="3:28" x14ac:dyDescent="0.25">
      <c r="I25" s="218" t="s">
        <v>555</v>
      </c>
      <c r="K25" s="218" t="s">
        <v>67</v>
      </c>
      <c r="L25" s="218"/>
    </row>
    <row r="26" spans="3:28" x14ac:dyDescent="0.25">
      <c r="I26" s="218" t="s">
        <v>1221</v>
      </c>
      <c r="J26" s="218"/>
      <c r="K26" s="218" t="s">
        <v>1222</v>
      </c>
      <c r="L26" s="218"/>
      <c r="T26" s="218" t="s">
        <v>555</v>
      </c>
      <c r="V26" s="218" t="s">
        <v>67</v>
      </c>
      <c r="Y26" s="233"/>
      <c r="Z26" s="233"/>
      <c r="AA26" s="233"/>
      <c r="AB26" s="233"/>
    </row>
    <row r="27" spans="3:28" x14ac:dyDescent="0.25">
      <c r="I27" s="218" t="s">
        <v>1223</v>
      </c>
      <c r="J27" s="218"/>
      <c r="K27" s="218" t="s">
        <v>1224</v>
      </c>
      <c r="T27" s="233" t="s">
        <v>1225</v>
      </c>
      <c r="V27" s="233" t="s">
        <v>1226</v>
      </c>
      <c r="Y27" s="233"/>
      <c r="Z27" s="233"/>
      <c r="AA27" s="233"/>
      <c r="AB27" s="233"/>
    </row>
    <row r="28" spans="3:28" x14ac:dyDescent="0.25">
      <c r="I28" s="218" t="s">
        <v>1227</v>
      </c>
      <c r="J28" s="218"/>
      <c r="K28" s="218" t="s">
        <v>1228</v>
      </c>
      <c r="T28" s="233" t="s">
        <v>1229</v>
      </c>
      <c r="V28" s="233" t="s">
        <v>1230</v>
      </c>
      <c r="Y28" s="233"/>
      <c r="Z28" s="233"/>
      <c r="AA28" s="233"/>
      <c r="AB28" s="233"/>
    </row>
    <row r="29" spans="3:28" x14ac:dyDescent="0.25">
      <c r="I29" s="218" t="s">
        <v>1231</v>
      </c>
      <c r="J29" s="218"/>
      <c r="K29" s="218" t="s">
        <v>1232</v>
      </c>
      <c r="T29" s="233" t="s">
        <v>1233</v>
      </c>
      <c r="V29" s="233" t="s">
        <v>1234</v>
      </c>
      <c r="Y29" s="233"/>
      <c r="Z29" s="233"/>
      <c r="AA29" s="233"/>
      <c r="AB29" s="233"/>
    </row>
    <row r="30" spans="3:28" x14ac:dyDescent="0.25">
      <c r="I30" s="218" t="s">
        <v>1235</v>
      </c>
      <c r="J30" s="218"/>
      <c r="K30" s="218" t="s">
        <v>1236</v>
      </c>
      <c r="T30" s="233" t="s">
        <v>1237</v>
      </c>
      <c r="V30" s="233" t="s">
        <v>1238</v>
      </c>
      <c r="Y30" s="233"/>
      <c r="Z30" s="233"/>
      <c r="AA30" s="233"/>
      <c r="AB30" s="233"/>
    </row>
    <row r="31" spans="3:28" x14ac:dyDescent="0.25">
      <c r="I31" s="218" t="s">
        <v>1239</v>
      </c>
      <c r="J31" s="218"/>
      <c r="K31" s="218" t="s">
        <v>1240</v>
      </c>
      <c r="T31" s="233" t="s">
        <v>1241</v>
      </c>
      <c r="V31" s="233" t="s">
        <v>1242</v>
      </c>
      <c r="Y31" s="233"/>
      <c r="Z31" s="233"/>
      <c r="AA31" s="233"/>
      <c r="AB31" s="233"/>
    </row>
    <row r="32" spans="3:28" x14ac:dyDescent="0.25">
      <c r="I32" s="218" t="s">
        <v>1243</v>
      </c>
      <c r="J32" s="218"/>
      <c r="K32" s="218" t="s">
        <v>1244</v>
      </c>
      <c r="T32" s="233" t="s">
        <v>1245</v>
      </c>
      <c r="V32" s="233" t="s">
        <v>1246</v>
      </c>
      <c r="Y32" s="233"/>
      <c r="Z32" s="233"/>
      <c r="AA32" s="233"/>
      <c r="AB32" s="233"/>
    </row>
    <row r="33" spans="9:28" x14ac:dyDescent="0.25">
      <c r="I33" s="218" t="s">
        <v>1247</v>
      </c>
      <c r="J33" s="218"/>
      <c r="K33" s="218" t="s">
        <v>1248</v>
      </c>
      <c r="T33" s="233" t="s">
        <v>1249</v>
      </c>
      <c r="V33" s="233" t="s">
        <v>1250</v>
      </c>
      <c r="W33" s="233"/>
      <c r="X33" s="233"/>
      <c r="Y33" s="233"/>
      <c r="Z33" s="233"/>
      <c r="AA33" s="233"/>
      <c r="AB33" s="233"/>
    </row>
  </sheetData>
  <mergeCells count="4">
    <mergeCell ref="C16:F20"/>
    <mergeCell ref="O16:S16"/>
    <mergeCell ref="B4:G4"/>
    <mergeCell ref="N4:S4"/>
  </mergeCells>
  <hyperlinks>
    <hyperlink ref="C2" r:id="rId1" xr:uid="{3EED40BA-068F-499A-80B3-56BE8FDFE06D}"/>
    <hyperlink ref="O2" r:id="rId2" xr:uid="{1E54FD73-9A70-4F11-96D6-6D44D6870ACF}"/>
  </hyperlinks>
  <pageMargins left="0.7" right="0.7" top="0.75" bottom="0.75" header="0.3" footer="0.3"/>
  <pageSetup paperSize="9" orientation="portrait" r:id="rId3"/>
  <drawing r:id="rId4"/>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1B9B17-177C-4B6C-A27F-24B40E851C6A}">
  <sheetPr>
    <tabColor rgb="FF44546A"/>
  </sheetPr>
  <dimension ref="A2:Q22"/>
  <sheetViews>
    <sheetView workbookViewId="0">
      <selection activeCell="F21" sqref="F21"/>
    </sheetView>
  </sheetViews>
  <sheetFormatPr defaultRowHeight="15.75" x14ac:dyDescent="0.25"/>
  <cols>
    <col min="1" max="1" width="1.25" style="216" customWidth="1"/>
    <col min="2" max="2" width="37.25" customWidth="1"/>
    <col min="3" max="3" width="11.875" customWidth="1"/>
    <col min="7" max="7" width="9.125" customWidth="1"/>
    <col min="8" max="8" width="11.25" customWidth="1"/>
    <col min="17" max="17" width="1.25" style="216" customWidth="1"/>
  </cols>
  <sheetData>
    <row r="2" spans="2:16" x14ac:dyDescent="0.25">
      <c r="B2" s="237" t="s">
        <v>507</v>
      </c>
      <c r="C2" s="167" t="s">
        <v>416</v>
      </c>
    </row>
    <row r="5" spans="2:16" ht="21" customHeight="1" x14ac:dyDescent="0.25">
      <c r="B5" s="188" t="s">
        <v>1251</v>
      </c>
      <c r="C5" s="188" t="s">
        <v>1252</v>
      </c>
      <c r="H5" s="425" t="s">
        <v>1253</v>
      </c>
      <c r="I5" s="425"/>
      <c r="J5" s="425"/>
      <c r="K5" s="425"/>
      <c r="L5" s="425"/>
      <c r="M5" s="425"/>
      <c r="N5" s="425"/>
      <c r="O5" s="425"/>
      <c r="P5" s="425"/>
    </row>
    <row r="6" spans="2:16" x14ac:dyDescent="0.25">
      <c r="B6" t="s">
        <v>1254</v>
      </c>
      <c r="C6" s="30">
        <f>580+930</f>
        <v>1510</v>
      </c>
      <c r="H6" s="425"/>
      <c r="I6" s="425"/>
      <c r="J6" s="425"/>
      <c r="K6" s="425"/>
      <c r="L6" s="425"/>
      <c r="M6" s="425"/>
      <c r="N6" s="425"/>
      <c r="O6" s="425"/>
      <c r="P6" s="425"/>
    </row>
    <row r="7" spans="2:16" ht="15.75" customHeight="1" x14ac:dyDescent="0.25">
      <c r="B7" t="s">
        <v>1255</v>
      </c>
      <c r="C7">
        <v>2900</v>
      </c>
      <c r="H7" s="425"/>
      <c r="I7" s="425"/>
      <c r="J7" s="425"/>
      <c r="K7" s="425"/>
      <c r="L7" s="425"/>
      <c r="M7" s="425"/>
      <c r="N7" s="425"/>
      <c r="O7" s="425"/>
      <c r="P7" s="425"/>
    </row>
    <row r="8" spans="2:16" x14ac:dyDescent="0.25">
      <c r="B8" t="s">
        <v>1256</v>
      </c>
      <c r="C8">
        <v>2500</v>
      </c>
      <c r="H8" s="425"/>
      <c r="I8" s="425"/>
      <c r="J8" s="425"/>
      <c r="K8" s="425"/>
      <c r="L8" s="425"/>
      <c r="M8" s="425"/>
      <c r="N8" s="425"/>
      <c r="O8" s="425"/>
      <c r="P8" s="425"/>
    </row>
    <row r="9" spans="2:16" x14ac:dyDescent="0.25">
      <c r="B9" s="193" t="s">
        <v>1257</v>
      </c>
      <c r="C9" s="193">
        <v>7100</v>
      </c>
      <c r="H9" s="187"/>
      <c r="I9" s="187"/>
      <c r="J9" s="187"/>
      <c r="K9" s="187"/>
      <c r="L9" s="187"/>
      <c r="M9" s="187"/>
      <c r="N9" s="187"/>
      <c r="O9" s="187"/>
      <c r="P9" s="187"/>
    </row>
    <row r="10" spans="2:16" x14ac:dyDescent="0.25">
      <c r="B10" s="14" t="s">
        <v>1258</v>
      </c>
      <c r="C10" s="14">
        <f>SUM(C6:C9)</f>
        <v>14010</v>
      </c>
      <c r="H10" s="187"/>
      <c r="I10" s="187"/>
      <c r="J10" s="187"/>
      <c r="K10" s="187"/>
      <c r="L10" s="187"/>
      <c r="M10" s="187"/>
      <c r="N10" s="187"/>
      <c r="O10" s="187"/>
      <c r="P10" s="187"/>
    </row>
    <row r="11" spans="2:16" x14ac:dyDescent="0.25">
      <c r="H11" s="187"/>
      <c r="I11" s="187"/>
      <c r="J11" s="187"/>
      <c r="K11" s="187"/>
      <c r="L11" s="187"/>
      <c r="M11" s="187"/>
      <c r="N11" s="187"/>
      <c r="O11" s="187"/>
      <c r="P11" s="187"/>
    </row>
    <row r="12" spans="2:16" ht="16.5" customHeight="1" x14ac:dyDescent="0.25"/>
    <row r="13" spans="2:16" ht="21" x14ac:dyDescent="0.25">
      <c r="B13" s="402" t="s">
        <v>1158</v>
      </c>
      <c r="C13" s="402"/>
      <c r="D13" s="402"/>
    </row>
    <row r="14" spans="2:16" x14ac:dyDescent="0.25">
      <c r="B14" s="14" t="s">
        <v>991</v>
      </c>
      <c r="C14" t="s">
        <v>1259</v>
      </c>
      <c r="D14" s="15"/>
    </row>
    <row r="15" spans="2:16" x14ac:dyDescent="0.25">
      <c r="B15" s="92" t="s">
        <v>1260</v>
      </c>
      <c r="C15" s="78">
        <f>C10</f>
        <v>14010</v>
      </c>
      <c r="D15" s="154" t="s">
        <v>536</v>
      </c>
    </row>
    <row r="16" spans="2:16" x14ac:dyDescent="0.25">
      <c r="B16" s="92" t="s">
        <v>1261</v>
      </c>
      <c r="C16" s="189">
        <f>3.14*(300/2)*(300/2)/100</f>
        <v>706.5</v>
      </c>
      <c r="D16" s="154" t="s">
        <v>540</v>
      </c>
      <c r="E16">
        <v>70686</v>
      </c>
      <c r="F16" t="s">
        <v>1080</v>
      </c>
    </row>
    <row r="17" spans="2:13" x14ac:dyDescent="0.25">
      <c r="B17" s="92" t="s">
        <v>1262</v>
      </c>
      <c r="C17" s="189">
        <v>491</v>
      </c>
      <c r="D17" s="154"/>
      <c r="G17" s="167" t="s">
        <v>1263</v>
      </c>
    </row>
    <row r="18" spans="2:13" ht="15.75" customHeight="1" x14ac:dyDescent="0.25">
      <c r="B18" s="92" t="s">
        <v>1264</v>
      </c>
      <c r="C18" s="190">
        <f>C16/C17</f>
        <v>1.4389002036659877</v>
      </c>
      <c r="D18" s="154" t="s">
        <v>1265</v>
      </c>
      <c r="G18" s="167" t="s">
        <v>1266</v>
      </c>
    </row>
    <row r="19" spans="2:13" x14ac:dyDescent="0.25">
      <c r="B19" s="191" t="s">
        <v>1267</v>
      </c>
      <c r="C19" s="189">
        <v>135.9803</v>
      </c>
      <c r="D19" s="154" t="s">
        <v>1268</v>
      </c>
      <c r="E19">
        <v>1.35</v>
      </c>
      <c r="F19" s="192" t="s">
        <v>1265</v>
      </c>
      <c r="G19" t="s">
        <v>1269</v>
      </c>
      <c r="I19">
        <v>7771</v>
      </c>
      <c r="J19" t="s">
        <v>1080</v>
      </c>
      <c r="K19">
        <v>777.1</v>
      </c>
      <c r="L19" t="s">
        <v>540</v>
      </c>
    </row>
    <row r="20" spans="2:13" x14ac:dyDescent="0.25">
      <c r="B20" s="92" t="s">
        <v>1270</v>
      </c>
      <c r="C20" s="190">
        <f>C10/C16</f>
        <v>19.830148619957537</v>
      </c>
      <c r="D20" s="154" t="s">
        <v>552</v>
      </c>
      <c r="G20" t="s">
        <v>1271</v>
      </c>
      <c r="K20">
        <f>E16-I19</f>
        <v>62915</v>
      </c>
      <c r="L20">
        <v>629.1</v>
      </c>
      <c r="M20" t="s">
        <v>540</v>
      </c>
    </row>
    <row r="21" spans="2:13" ht="18" customHeight="1" x14ac:dyDescent="0.25">
      <c r="B21" s="92" t="s">
        <v>1272</v>
      </c>
      <c r="C21" s="190">
        <f>C10/L20</f>
        <v>22.269909394372913</v>
      </c>
      <c r="D21" s="154" t="s">
        <v>552</v>
      </c>
    </row>
    <row r="22" spans="2:13" ht="31.5" x14ac:dyDescent="0.25">
      <c r="B22" s="245" t="s">
        <v>1273</v>
      </c>
      <c r="C22" s="246">
        <f>C21/'Deng data'!I11</f>
        <v>26.831216137798691</v>
      </c>
      <c r="D22" s="247" t="s">
        <v>552</v>
      </c>
    </row>
  </sheetData>
  <mergeCells count="2">
    <mergeCell ref="B13:D13"/>
    <mergeCell ref="H5:P8"/>
  </mergeCells>
  <hyperlinks>
    <hyperlink ref="C2" r:id="rId1" xr:uid="{D24572AD-93B7-4539-AD40-D1BBA2FE7335}"/>
    <hyperlink ref="G18" r:id="rId2" xr:uid="{26574A32-C895-440F-84E9-4B7C1459A409}"/>
    <hyperlink ref="G17" r:id="rId3" xr:uid="{A974A076-EBA1-465D-A1B9-D2322EA4A439}"/>
  </hyperlinks>
  <pageMargins left="0.7" right="0.7" top="0.75" bottom="0.75" header="0.3" footer="0.3"/>
  <pageSetup paperSize="9" orientation="portrait" r:id="rId4"/>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471205-4B68-428A-9ED9-B7234C709D7B}">
  <sheetPr>
    <tabColor rgb="FF44546A"/>
  </sheetPr>
  <dimension ref="A2:K23"/>
  <sheetViews>
    <sheetView workbookViewId="0">
      <selection activeCell="I14" sqref="I14"/>
    </sheetView>
  </sheetViews>
  <sheetFormatPr defaultRowHeight="15.75" x14ac:dyDescent="0.25"/>
  <cols>
    <col min="1" max="1" width="1.25" style="216" customWidth="1"/>
    <col min="3" max="3" width="38.75" customWidth="1"/>
    <col min="6" max="7" width="19.25" customWidth="1"/>
    <col min="8" max="9" width="26.375" customWidth="1"/>
    <col min="11" max="11" width="1.25" style="216" customWidth="1"/>
  </cols>
  <sheetData>
    <row r="2" spans="2:9" x14ac:dyDescent="0.25">
      <c r="B2" s="237" t="s">
        <v>507</v>
      </c>
      <c r="C2" s="167" t="s">
        <v>224</v>
      </c>
    </row>
    <row r="3" spans="2:9" x14ac:dyDescent="0.25">
      <c r="C3" t="s">
        <v>982</v>
      </c>
    </row>
    <row r="5" spans="2:9" ht="21" x14ac:dyDescent="0.25">
      <c r="B5" s="402" t="s">
        <v>555</v>
      </c>
      <c r="C5" s="402"/>
      <c r="D5" s="402"/>
    </row>
    <row r="6" spans="2:9" ht="31.5" x14ac:dyDescent="0.25">
      <c r="C6" s="239"/>
      <c r="D6" s="256" t="s">
        <v>1000</v>
      </c>
      <c r="E6" s="256" t="s">
        <v>552</v>
      </c>
      <c r="H6" s="361" t="s">
        <v>1055</v>
      </c>
      <c r="I6" s="361" t="s">
        <v>1056</v>
      </c>
    </row>
    <row r="7" spans="2:9" x14ac:dyDescent="0.25">
      <c r="B7">
        <v>1999</v>
      </c>
      <c r="C7" s="14" t="s">
        <v>1274</v>
      </c>
      <c r="D7">
        <v>0.86499999999999999</v>
      </c>
      <c r="E7" s="29">
        <f>D7*Parameters!$C$7*Parameters!$C$12/'Deng data'!$I$11</f>
        <v>9.3795180722891569</v>
      </c>
      <c r="F7" t="s">
        <v>982</v>
      </c>
      <c r="G7" t="s">
        <v>1275</v>
      </c>
      <c r="H7" s="29">
        <f>D7*Parameters!$C$8</f>
        <v>0.41087499999999999</v>
      </c>
      <c r="I7" s="29">
        <f>H7/'Scopes ratios details'!$F$61</f>
        <v>0.61335990414508845</v>
      </c>
    </row>
    <row r="8" spans="2:9" x14ac:dyDescent="0.25">
      <c r="B8">
        <v>1999</v>
      </c>
      <c r="C8" s="14" t="s">
        <v>1276</v>
      </c>
      <c r="D8">
        <v>3.19</v>
      </c>
      <c r="E8" s="29">
        <f>D8*Parameters!$C$7*Parameters!$C$12/'Deng data'!$I$11</f>
        <v>34.590361445783138</v>
      </c>
      <c r="F8" t="s">
        <v>982</v>
      </c>
      <c r="G8" t="s">
        <v>1275</v>
      </c>
      <c r="H8" s="29">
        <f>D8*Parameters!$C$8</f>
        <v>1.51525</v>
      </c>
      <c r="I8" s="29">
        <f>H8/'Scopes ratios details'!$F$61</f>
        <v>2.2619862360957597</v>
      </c>
    </row>
    <row r="9" spans="2:9" x14ac:dyDescent="0.25">
      <c r="B9">
        <v>1999</v>
      </c>
      <c r="C9" s="14" t="s">
        <v>1277</v>
      </c>
      <c r="D9">
        <v>1.4319999999999999</v>
      </c>
      <c r="E9" s="29">
        <f>D9*Parameters!$C$7*Parameters!$C$12/'Deng data'!$I$11</f>
        <v>15.527710843373494</v>
      </c>
      <c r="F9" t="s">
        <v>982</v>
      </c>
      <c r="G9" t="s">
        <v>1275</v>
      </c>
      <c r="H9" s="29">
        <f>D9*Parameters!$C$8</f>
        <v>0.68019999999999992</v>
      </c>
      <c r="I9" s="29">
        <f>H9/'Scopes ratios details'!$F$61</f>
        <v>1.0154120031627361</v>
      </c>
    </row>
    <row r="10" spans="2:9" x14ac:dyDescent="0.25">
      <c r="B10">
        <v>1997</v>
      </c>
      <c r="C10" s="14" t="s">
        <v>1278</v>
      </c>
      <c r="D10">
        <v>1.77</v>
      </c>
      <c r="E10" s="29">
        <f>D10*Parameters!$C$7*Parameters!$C$12/'Deng data'!$I$11</f>
        <v>19.192771084337348</v>
      </c>
      <c r="F10" t="s">
        <v>1279</v>
      </c>
      <c r="H10" s="29">
        <f>D10*Parameters!$C$8</f>
        <v>0.84075</v>
      </c>
      <c r="I10" s="29">
        <f>H10/'Scopes ratios details'!$F$61</f>
        <v>1.2550832720656724</v>
      </c>
    </row>
    <row r="11" spans="2:9" x14ac:dyDescent="0.25">
      <c r="B11">
        <v>1995</v>
      </c>
      <c r="C11" s="14" t="s">
        <v>1280</v>
      </c>
      <c r="D11">
        <v>1.41</v>
      </c>
      <c r="E11" s="29">
        <f>D11*Parameters!$C$7*Parameters!$C$12/'Deng data'!$I$11</f>
        <v>15.289156626506024</v>
      </c>
      <c r="F11" t="s">
        <v>1281</v>
      </c>
      <c r="H11" s="29">
        <f>D11*Parameters!$C$8</f>
        <v>0.66974999999999996</v>
      </c>
      <c r="I11" s="29">
        <f>H11/'Scopes ratios details'!$F$61</f>
        <v>0.99981209808621352</v>
      </c>
    </row>
    <row r="12" spans="2:9" x14ac:dyDescent="0.25">
      <c r="B12">
        <v>1988</v>
      </c>
      <c r="C12" s="14" t="s">
        <v>1282</v>
      </c>
      <c r="D12">
        <v>1.86</v>
      </c>
      <c r="E12" s="29">
        <f>D12*Parameters!$C$7*Parameters!$C$12/'Deng data'!$I$11</f>
        <v>20.168674698795183</v>
      </c>
      <c r="F12" t="s">
        <v>1279</v>
      </c>
      <c r="H12" s="29">
        <f>D12*Parameters!$C$8</f>
        <v>0.88349999999999995</v>
      </c>
      <c r="I12" s="29">
        <f>H12/'Scopes ratios details'!$F$61</f>
        <v>1.3189010655605371</v>
      </c>
    </row>
    <row r="13" spans="2:9" x14ac:dyDescent="0.25">
      <c r="B13">
        <v>1984</v>
      </c>
      <c r="C13" s="14" t="s">
        <v>1278</v>
      </c>
      <c r="D13">
        <v>3.26</v>
      </c>
      <c r="E13" s="29">
        <f>D13*Parameters!$C$7*Parameters!$C$12/'Deng data'!$I$11</f>
        <v>35.349397590361441</v>
      </c>
      <c r="F13" t="s">
        <v>1279</v>
      </c>
      <c r="H13" s="29">
        <f>D13*Parameters!$C$8</f>
        <v>1.5484999999999998</v>
      </c>
      <c r="I13" s="29">
        <f>H13/'Scopes ratios details'!$F$61</f>
        <v>2.3116222977028764</v>
      </c>
    </row>
    <row r="14" spans="2:9" x14ac:dyDescent="0.25">
      <c r="B14">
        <v>1983</v>
      </c>
      <c r="C14" s="14" t="s">
        <v>1280</v>
      </c>
      <c r="D14">
        <v>3.1</v>
      </c>
      <c r="E14" s="29">
        <f>D14*Parameters!$C$7*Parameters!$C$12/'Deng data'!$I$11</f>
        <v>33.614457831325304</v>
      </c>
      <c r="F14" t="s">
        <v>1281</v>
      </c>
      <c r="H14" s="29">
        <f>D14*Parameters!$C$8</f>
        <v>1.4724999999999999</v>
      </c>
      <c r="I14" s="29">
        <f>H14/'Scopes ratios details'!$F$61</f>
        <v>2.1981684426008949</v>
      </c>
    </row>
    <row r="18" spans="2:7" x14ac:dyDescent="0.25">
      <c r="B18" s="368"/>
      <c r="C18" s="369"/>
      <c r="D18" s="369"/>
      <c r="E18" s="369"/>
      <c r="F18" s="369"/>
      <c r="G18" s="360"/>
    </row>
    <row r="19" spans="2:7" x14ac:dyDescent="0.25">
      <c r="B19" s="369"/>
      <c r="C19" s="369"/>
      <c r="D19" s="369"/>
      <c r="E19" s="369"/>
      <c r="F19" s="369"/>
      <c r="G19" s="360"/>
    </row>
    <row r="20" spans="2:7" x14ac:dyDescent="0.25">
      <c r="B20" s="369"/>
      <c r="C20" s="369"/>
      <c r="D20" s="369"/>
      <c r="E20" s="369"/>
      <c r="F20" s="369"/>
      <c r="G20" s="360"/>
    </row>
    <row r="21" spans="2:7" x14ac:dyDescent="0.25">
      <c r="B21" s="369"/>
      <c r="C21" s="369"/>
      <c r="D21" s="369"/>
      <c r="E21" s="369"/>
      <c r="F21" s="369"/>
      <c r="G21" s="360"/>
    </row>
    <row r="22" spans="2:7" x14ac:dyDescent="0.25">
      <c r="B22" s="369"/>
      <c r="C22" s="369"/>
      <c r="D22" s="369"/>
      <c r="E22" s="369"/>
      <c r="F22" s="369"/>
      <c r="G22" s="360"/>
    </row>
    <row r="23" spans="2:7" x14ac:dyDescent="0.25">
      <c r="B23" s="369"/>
      <c r="C23" s="369"/>
      <c r="D23" s="369"/>
      <c r="E23" s="369"/>
      <c r="F23" s="369"/>
      <c r="G23" s="360"/>
    </row>
  </sheetData>
  <mergeCells count="1">
    <mergeCell ref="B5:D5"/>
  </mergeCells>
  <hyperlinks>
    <hyperlink ref="C2" r:id="rId1" xr:uid="{779D4CF4-E7E2-4270-9413-95B4E0E1532E}"/>
  </hyperlinks>
  <pageMargins left="0.7" right="0.7" top="0.75" bottom="0.75" header="0.3" footer="0.3"/>
  <pageSetup paperSize="9" orientation="portrait" r:id="rId2"/>
  <drawing r:id="rId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E3F0FA-4333-416E-B049-BB46CA098955}">
  <sheetPr>
    <tabColor rgb="FF44546A"/>
  </sheetPr>
  <dimension ref="A2:R4"/>
  <sheetViews>
    <sheetView workbookViewId="0">
      <selection activeCell="I6" sqref="I6"/>
    </sheetView>
  </sheetViews>
  <sheetFormatPr defaultRowHeight="15.75" x14ac:dyDescent="0.25"/>
  <cols>
    <col min="1" max="1" width="1.25" style="216" customWidth="1"/>
    <col min="18" max="18" width="1.25" style="216" customWidth="1"/>
  </cols>
  <sheetData>
    <row r="2" spans="2:3" x14ac:dyDescent="0.25">
      <c r="B2" s="237" t="s">
        <v>507</v>
      </c>
      <c r="C2" s="167" t="s">
        <v>1283</v>
      </c>
    </row>
    <row r="4" spans="2:3" x14ac:dyDescent="0.25">
      <c r="B4" s="230" t="s">
        <v>1284</v>
      </c>
    </row>
  </sheetData>
  <hyperlinks>
    <hyperlink ref="C2" r:id="rId1" xr:uid="{BCF9016C-4F85-4305-B0D9-01CA8377F45A}"/>
  </hyperlinks>
  <pageMargins left="0.7" right="0.7" top="0.75" bottom="0.75" header="0.3" footer="0.3"/>
  <pageSetup paperSize="9" orientation="portrait" r:id="rId2"/>
  <drawing r:id="rId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668F65-BAA7-424D-9E2A-B3E169AEC5E6}">
  <sheetPr>
    <tabColor rgb="FF44546A"/>
  </sheetPr>
  <dimension ref="A2:N13"/>
  <sheetViews>
    <sheetView workbookViewId="0">
      <selection activeCell="W127" sqref="W127"/>
    </sheetView>
  </sheetViews>
  <sheetFormatPr defaultRowHeight="15.75" x14ac:dyDescent="0.25"/>
  <cols>
    <col min="1" max="1" width="1.25" style="216" customWidth="1"/>
    <col min="2" max="2" width="41.5" customWidth="1"/>
    <col min="9" max="10" width="20.625" customWidth="1"/>
    <col min="14" max="14" width="1.25" style="216" customWidth="1"/>
  </cols>
  <sheetData>
    <row r="2" spans="2:10" x14ac:dyDescent="0.25">
      <c r="B2" s="237" t="s">
        <v>507</v>
      </c>
      <c r="C2" s="167" t="s">
        <v>247</v>
      </c>
    </row>
    <row r="4" spans="2:10" ht="47.25" x14ac:dyDescent="0.25">
      <c r="B4" s="402" t="s">
        <v>555</v>
      </c>
      <c r="C4" s="402"/>
      <c r="D4" s="402"/>
      <c r="I4" s="361" t="s">
        <v>1055</v>
      </c>
      <c r="J4" s="361" t="s">
        <v>1056</v>
      </c>
    </row>
    <row r="5" spans="2:10" x14ac:dyDescent="0.25">
      <c r="B5" s="14" t="s">
        <v>991</v>
      </c>
      <c r="C5">
        <v>0.13</v>
      </c>
      <c r="D5" s="15" t="s">
        <v>1285</v>
      </c>
    </row>
    <row r="6" spans="2:10" x14ac:dyDescent="0.25">
      <c r="B6" s="92" t="s">
        <v>1286</v>
      </c>
      <c r="C6" s="78">
        <v>336</v>
      </c>
      <c r="D6" s="154" t="s">
        <v>1287</v>
      </c>
      <c r="E6">
        <f>C6*Parameters!$C$7*Parameters!$C$12/'Deng data'!$I$11</f>
        <v>3643.3734939759038</v>
      </c>
      <c r="F6" t="s">
        <v>536</v>
      </c>
    </row>
    <row r="7" spans="2:10" x14ac:dyDescent="0.25">
      <c r="B7" s="92" t="s">
        <v>1288</v>
      </c>
      <c r="C7" s="78">
        <v>406</v>
      </c>
      <c r="D7" s="154" t="s">
        <v>1287</v>
      </c>
      <c r="E7">
        <f>C7*Parameters!$C$7*Parameters!$C$12/'Deng data'!$I$11</f>
        <v>4402.4096385542171</v>
      </c>
      <c r="F7" t="s">
        <v>536</v>
      </c>
    </row>
    <row r="8" spans="2:10" x14ac:dyDescent="0.25">
      <c r="B8" s="221" t="s">
        <v>1261</v>
      </c>
      <c r="C8" s="222">
        <f>3.14*(200/2)*(200/2)/100</f>
        <v>314</v>
      </c>
      <c r="D8" s="223" t="s">
        <v>1100</v>
      </c>
    </row>
    <row r="9" spans="2:10" x14ac:dyDescent="0.25">
      <c r="B9" s="92" t="s">
        <v>1262</v>
      </c>
      <c r="C9" s="189">
        <v>261</v>
      </c>
      <c r="D9" s="154"/>
    </row>
    <row r="10" spans="2:10" x14ac:dyDescent="0.25">
      <c r="B10" s="92" t="s">
        <v>1264</v>
      </c>
      <c r="C10" s="190">
        <v>1</v>
      </c>
      <c r="D10" s="154" t="s">
        <v>1265</v>
      </c>
    </row>
    <row r="11" spans="2:10" x14ac:dyDescent="0.25">
      <c r="B11" s="92" t="s">
        <v>1289</v>
      </c>
      <c r="C11" s="190">
        <f>C9*C10</f>
        <v>261</v>
      </c>
      <c r="D11" s="154" t="s">
        <v>540</v>
      </c>
      <c r="E11" t="s">
        <v>1290</v>
      </c>
    </row>
    <row r="12" spans="2:10" x14ac:dyDescent="0.25">
      <c r="B12" s="245" t="s">
        <v>1291</v>
      </c>
      <c r="C12" s="246">
        <f>C6/C11</f>
        <v>1.2873563218390804</v>
      </c>
      <c r="D12" s="247" t="s">
        <v>1000</v>
      </c>
      <c r="E12" s="246">
        <f>E6/C11</f>
        <v>13.959285417532199</v>
      </c>
      <c r="F12" s="247" t="s">
        <v>552</v>
      </c>
      <c r="I12" s="29">
        <f>C12*Parameters!$C$8</f>
        <v>0.61149425287356318</v>
      </c>
      <c r="J12" s="29">
        <f>I12/'Scopes ratios details'!$F$61</f>
        <v>0.91284711001594454</v>
      </c>
    </row>
    <row r="13" spans="2:10" x14ac:dyDescent="0.25">
      <c r="B13" s="245" t="s">
        <v>1292</v>
      </c>
      <c r="C13" s="246">
        <f>C7/C11</f>
        <v>1.5555555555555556</v>
      </c>
      <c r="D13" s="247" t="s">
        <v>1000</v>
      </c>
      <c r="E13" s="246">
        <f>E7/C11</f>
        <v>16.867469879518072</v>
      </c>
      <c r="F13" s="247" t="s">
        <v>552</v>
      </c>
      <c r="I13" s="29">
        <f>C13*Parameters!$C$8</f>
        <v>0.73888888888888882</v>
      </c>
      <c r="J13" s="29">
        <f>I13/'Scopes ratios details'!$F$61</f>
        <v>1.1030235912692663</v>
      </c>
    </row>
  </sheetData>
  <mergeCells count="1">
    <mergeCell ref="B4:D4"/>
  </mergeCells>
  <hyperlinks>
    <hyperlink ref="C2" r:id="rId1" xr:uid="{2E85C414-BF41-4886-9804-A04873BE0A46}"/>
  </hyperlinks>
  <pageMargins left="0.7" right="0.7" top="0.75" bottom="0.75" header="0.3" footer="0.3"/>
  <pageSetup paperSize="9"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B54661-392E-4E0A-AAB6-9547ACABB234}">
  <sheetPr>
    <tabColor rgb="FF000000"/>
  </sheetPr>
  <dimension ref="A1:AI261"/>
  <sheetViews>
    <sheetView zoomScale="50" zoomScaleNormal="50" workbookViewId="0">
      <pane ySplit="5" topLeftCell="A235" activePane="bottomLeft" state="frozen"/>
      <selection pane="bottomLeft" activeCell="V249" sqref="B238:V249"/>
    </sheetView>
  </sheetViews>
  <sheetFormatPr defaultRowHeight="15.75" x14ac:dyDescent="0.25"/>
  <cols>
    <col min="2" max="2" width="54" customWidth="1"/>
    <col min="3" max="21" width="14.625" customWidth="1"/>
    <col min="22" max="22" width="67.125" customWidth="1"/>
    <col min="23" max="23" width="14.625" style="81" customWidth="1"/>
    <col min="24" max="26" width="9.125" bestFit="1" customWidth="1"/>
    <col min="28" max="31" width="9.125" bestFit="1" customWidth="1"/>
    <col min="32" max="32" width="11.125" bestFit="1" customWidth="1"/>
  </cols>
  <sheetData>
    <row r="1" spans="1:35" s="82" customFormat="1" x14ac:dyDescent="0.25">
      <c r="A1"/>
      <c r="W1" s="304"/>
    </row>
    <row r="2" spans="1:35" s="2" customFormat="1" ht="36.950000000000003" customHeight="1" x14ac:dyDescent="0.25">
      <c r="B2" s="380" t="s">
        <v>353</v>
      </c>
      <c r="C2" s="380"/>
      <c r="D2" s="380"/>
      <c r="E2" s="380"/>
      <c r="F2" s="380"/>
      <c r="G2" s="380"/>
      <c r="H2" s="380"/>
      <c r="I2" s="380"/>
      <c r="J2" s="380"/>
      <c r="K2" s="380"/>
      <c r="L2" s="380"/>
      <c r="M2" s="380"/>
      <c r="N2" s="380"/>
      <c r="O2" s="380"/>
      <c r="P2" s="380"/>
      <c r="Q2" s="380"/>
      <c r="R2" s="380"/>
      <c r="S2" s="380"/>
      <c r="T2" s="380"/>
      <c r="U2" s="380"/>
      <c r="V2" s="380"/>
      <c r="W2" s="380"/>
      <c r="X2" s="1"/>
      <c r="Y2" s="1"/>
      <c r="Z2" s="1"/>
      <c r="AA2" s="1"/>
      <c r="AB2" s="1"/>
      <c r="AC2" s="1"/>
      <c r="AD2" s="1"/>
      <c r="AE2" s="1"/>
      <c r="AF2" s="1"/>
      <c r="AG2" s="1"/>
      <c r="AH2" s="1"/>
      <c r="AI2" s="1"/>
    </row>
    <row r="3" spans="1:35" s="43" customFormat="1" x14ac:dyDescent="0.25">
      <c r="A3" s="2"/>
      <c r="B3" s="42"/>
      <c r="C3" s="42"/>
      <c r="D3" s="42"/>
      <c r="E3" s="42"/>
      <c r="F3" s="42"/>
      <c r="G3" s="42"/>
      <c r="H3" s="42"/>
      <c r="I3" s="42"/>
      <c r="J3" s="42"/>
      <c r="K3" s="42"/>
      <c r="L3" s="42"/>
      <c r="M3" s="42"/>
      <c r="N3" s="42"/>
      <c r="O3" s="42"/>
      <c r="P3" s="42"/>
      <c r="Q3" s="42"/>
      <c r="R3" s="42"/>
      <c r="S3" s="42"/>
      <c r="T3" s="42"/>
      <c r="U3" s="42"/>
      <c r="V3" s="73"/>
      <c r="W3" s="42"/>
      <c r="X3" s="86"/>
    </row>
    <row r="4" spans="1:35" s="2" customFormat="1" ht="35.25" customHeight="1" x14ac:dyDescent="0.25">
      <c r="B4" s="75" t="s">
        <v>1</v>
      </c>
      <c r="C4" s="75" t="s">
        <v>2</v>
      </c>
      <c r="D4" s="75" t="s">
        <v>3</v>
      </c>
      <c r="E4" s="75" t="s">
        <v>4</v>
      </c>
      <c r="F4" s="75" t="s">
        <v>5</v>
      </c>
      <c r="G4" s="381" t="s">
        <v>6</v>
      </c>
      <c r="H4" s="382"/>
      <c r="I4" s="382"/>
      <c r="J4" s="382"/>
      <c r="K4" s="382"/>
      <c r="L4" s="382"/>
      <c r="M4" s="382"/>
      <c r="N4" s="382"/>
      <c r="O4" s="382"/>
      <c r="P4" s="382"/>
      <c r="Q4" s="382"/>
      <c r="R4" s="382"/>
      <c r="S4" s="382"/>
      <c r="T4" s="382"/>
      <c r="U4" s="383"/>
      <c r="V4" s="76" t="s">
        <v>7</v>
      </c>
      <c r="W4" s="244" t="s">
        <v>68</v>
      </c>
      <c r="Z4" s="43"/>
      <c r="AA4" s="43"/>
      <c r="AB4" s="43"/>
      <c r="AC4" s="43"/>
    </row>
    <row r="5" spans="1:35" s="2" customFormat="1" ht="70.5" customHeight="1" x14ac:dyDescent="0.25">
      <c r="B5" s="8"/>
      <c r="C5" s="8"/>
      <c r="D5" s="8"/>
      <c r="E5" s="8"/>
      <c r="F5" s="77" t="s">
        <v>8</v>
      </c>
      <c r="G5" s="77" t="s">
        <v>9</v>
      </c>
      <c r="H5" s="77" t="s">
        <v>10</v>
      </c>
      <c r="I5" s="77" t="s">
        <v>11</v>
      </c>
      <c r="J5" s="77" t="s">
        <v>12</v>
      </c>
      <c r="K5" s="77" t="s">
        <v>13</v>
      </c>
      <c r="L5" s="77" t="s">
        <v>14</v>
      </c>
      <c r="M5" s="77" t="s">
        <v>15</v>
      </c>
      <c r="N5" s="77" t="s">
        <v>16</v>
      </c>
      <c r="O5" s="77" t="s">
        <v>17</v>
      </c>
      <c r="P5" s="77" t="s">
        <v>18</v>
      </c>
      <c r="Q5" s="77" t="s">
        <v>19</v>
      </c>
      <c r="R5" s="77" t="s">
        <v>20</v>
      </c>
      <c r="S5" s="77" t="s">
        <v>21</v>
      </c>
      <c r="T5" s="77" t="s">
        <v>22</v>
      </c>
      <c r="U5" s="77" t="s">
        <v>23</v>
      </c>
      <c r="V5" s="9"/>
      <c r="W5" s="42"/>
      <c r="X5" s="43"/>
      <c r="Y5" s="43"/>
      <c r="Z5" s="43"/>
      <c r="AA5" s="43"/>
      <c r="AB5" s="43"/>
      <c r="AC5" s="43"/>
    </row>
    <row r="6" spans="1:35" s="343" customFormat="1" x14ac:dyDescent="0.25">
      <c r="W6" s="311"/>
    </row>
    <row r="7" spans="1:35" s="34" customFormat="1" ht="157.5" x14ac:dyDescent="0.25">
      <c r="A7" s="2"/>
      <c r="B7" s="71" t="s">
        <v>69</v>
      </c>
      <c r="C7" s="91" t="s">
        <v>70</v>
      </c>
      <c r="D7" s="3">
        <v>2016</v>
      </c>
      <c r="E7" s="81" t="s">
        <v>71</v>
      </c>
      <c r="F7" s="91" t="s">
        <v>45</v>
      </c>
      <c r="G7" s="3" t="s">
        <v>46</v>
      </c>
      <c r="H7" s="3" t="s">
        <v>72</v>
      </c>
      <c r="I7" s="3" t="s">
        <v>72</v>
      </c>
      <c r="J7" s="3">
        <v>32</v>
      </c>
      <c r="K7" s="3">
        <v>300</v>
      </c>
      <c r="L7" s="3" t="s">
        <v>73</v>
      </c>
      <c r="M7" s="3" t="s">
        <v>47</v>
      </c>
      <c r="N7" s="3" t="s">
        <v>74</v>
      </c>
      <c r="O7" s="3" t="s">
        <v>75</v>
      </c>
      <c r="P7" s="3" t="s">
        <v>49</v>
      </c>
      <c r="Q7" s="3" t="s">
        <v>74</v>
      </c>
      <c r="R7" s="3" t="s">
        <v>76</v>
      </c>
      <c r="S7" s="3" t="s">
        <v>77</v>
      </c>
      <c r="T7" s="3" t="s">
        <v>47</v>
      </c>
      <c r="U7" s="3" t="s">
        <v>47</v>
      </c>
      <c r="V7" s="5" t="s">
        <v>354</v>
      </c>
      <c r="W7" s="305">
        <f>'Proske data'!H8</f>
        <v>94.9</v>
      </c>
      <c r="X7" s="78"/>
      <c r="Y7" s="78"/>
      <c r="Z7" s="2"/>
      <c r="AA7" s="2"/>
      <c r="AB7" s="2"/>
      <c r="AC7" s="2"/>
      <c r="AD7" s="2"/>
      <c r="AE7" s="2"/>
      <c r="AF7" s="2"/>
      <c r="AG7" s="2"/>
    </row>
    <row r="8" spans="1:35" s="34" customFormat="1" ht="110.25" x14ac:dyDescent="0.25">
      <c r="A8" s="2"/>
      <c r="B8" s="71" t="s">
        <v>79</v>
      </c>
      <c r="C8" s="91" t="s">
        <v>70</v>
      </c>
      <c r="D8" s="3">
        <v>2020</v>
      </c>
      <c r="E8" s="352" t="s">
        <v>80</v>
      </c>
      <c r="F8" s="91" t="s">
        <v>45</v>
      </c>
      <c r="G8" s="3" t="s">
        <v>46</v>
      </c>
      <c r="H8" s="3" t="s">
        <v>47</v>
      </c>
      <c r="I8" s="3" t="s">
        <v>81</v>
      </c>
      <c r="J8" s="3">
        <v>32</v>
      </c>
      <c r="K8" s="3" t="s">
        <v>82</v>
      </c>
      <c r="L8" s="3" t="s">
        <v>77</v>
      </c>
      <c r="M8" s="3" t="s">
        <v>47</v>
      </c>
      <c r="N8" s="3" t="s">
        <v>74</v>
      </c>
      <c r="O8" s="3" t="s">
        <v>75</v>
      </c>
      <c r="P8" s="3" t="s">
        <v>49</v>
      </c>
      <c r="Q8" s="3" t="s">
        <v>74</v>
      </c>
      <c r="R8" s="3" t="s">
        <v>53</v>
      </c>
      <c r="S8" s="3" t="s">
        <v>72</v>
      </c>
      <c r="T8" s="3" t="s">
        <v>47</v>
      </c>
      <c r="U8" s="3" t="s">
        <v>47</v>
      </c>
      <c r="V8" s="5" t="s">
        <v>355</v>
      </c>
      <c r="W8" s="302">
        <f>'Proske data'!R8</f>
        <v>60.3</v>
      </c>
      <c r="X8" s="78"/>
      <c r="Y8" s="78"/>
      <c r="Z8" s="2"/>
      <c r="AA8" s="2"/>
      <c r="AB8" s="2"/>
      <c r="AC8" s="2"/>
      <c r="AD8" s="2"/>
      <c r="AE8" s="2"/>
      <c r="AF8" s="2"/>
      <c r="AG8" s="2"/>
    </row>
    <row r="9" spans="1:35" s="34" customFormat="1" ht="47.25" x14ac:dyDescent="0.25">
      <c r="A9" s="2"/>
      <c r="B9" s="2" t="s">
        <v>139</v>
      </c>
      <c r="C9" s="91" t="s">
        <v>140</v>
      </c>
      <c r="D9" s="7">
        <v>2020</v>
      </c>
      <c r="E9" s="81" t="s">
        <v>141</v>
      </c>
      <c r="F9" s="91" t="s">
        <v>45</v>
      </c>
      <c r="G9" s="7" t="s">
        <v>46</v>
      </c>
      <c r="H9" s="3" t="s">
        <v>77</v>
      </c>
      <c r="I9" s="7" t="s">
        <v>47</v>
      </c>
      <c r="J9" s="7">
        <v>28</v>
      </c>
      <c r="K9" s="7">
        <v>300</v>
      </c>
      <c r="L9" s="7" t="s">
        <v>53</v>
      </c>
      <c r="M9" s="7" t="s">
        <v>47</v>
      </c>
      <c r="N9" s="7" t="s">
        <v>74</v>
      </c>
      <c r="O9" s="7"/>
      <c r="P9" s="7" t="s">
        <v>88</v>
      </c>
      <c r="Q9" s="7" t="s">
        <v>50</v>
      </c>
      <c r="R9" s="7" t="s">
        <v>47</v>
      </c>
      <c r="S9" s="3" t="s">
        <v>72</v>
      </c>
      <c r="T9" s="7" t="s">
        <v>47</v>
      </c>
      <c r="U9" s="7" t="s">
        <v>47</v>
      </c>
      <c r="V9" s="4" t="s">
        <v>356</v>
      </c>
      <c r="W9" s="302">
        <f>'Bardon data'!C$14</f>
        <v>8.4870000000000001</v>
      </c>
      <c r="X9" s="2"/>
      <c r="Y9" s="346"/>
      <c r="Z9" s="2"/>
      <c r="AA9" s="2"/>
      <c r="AB9" s="2"/>
      <c r="AC9" s="2"/>
      <c r="AD9" s="2"/>
      <c r="AE9" s="2"/>
      <c r="AF9" s="2"/>
      <c r="AG9" s="2"/>
    </row>
    <row r="10" spans="1:35" s="34" customFormat="1" ht="47.25" x14ac:dyDescent="0.25">
      <c r="A10" s="2"/>
      <c r="B10" s="2" t="s">
        <v>139</v>
      </c>
      <c r="C10" s="91" t="s">
        <v>140</v>
      </c>
      <c r="D10" s="7">
        <v>2020</v>
      </c>
      <c r="E10" s="81" t="s">
        <v>141</v>
      </c>
      <c r="F10" s="91" t="s">
        <v>45</v>
      </c>
      <c r="G10" s="7" t="s">
        <v>46</v>
      </c>
      <c r="H10" s="3" t="s">
        <v>77</v>
      </c>
      <c r="I10" s="7" t="s">
        <v>47</v>
      </c>
      <c r="J10" s="7">
        <v>20</v>
      </c>
      <c r="K10" s="7">
        <v>300</v>
      </c>
      <c r="L10" s="7" t="s">
        <v>53</v>
      </c>
      <c r="M10" s="7" t="s">
        <v>47</v>
      </c>
      <c r="N10" s="7" t="s">
        <v>74</v>
      </c>
      <c r="O10" s="7"/>
      <c r="P10" s="7" t="s">
        <v>88</v>
      </c>
      <c r="Q10" s="7" t="s">
        <v>50</v>
      </c>
      <c r="R10" s="7" t="s">
        <v>47</v>
      </c>
      <c r="S10" s="3" t="s">
        <v>72</v>
      </c>
      <c r="T10" s="7" t="s">
        <v>47</v>
      </c>
      <c r="U10" s="7" t="s">
        <v>47</v>
      </c>
      <c r="V10" s="4" t="s">
        <v>356</v>
      </c>
      <c r="W10" s="302">
        <f>'Bardon data'!D$14</f>
        <v>10.313999999999998</v>
      </c>
      <c r="X10" s="2"/>
      <c r="Y10" s="346"/>
      <c r="Z10" s="2"/>
      <c r="AA10" s="2"/>
      <c r="AB10" s="2"/>
      <c r="AC10" s="2"/>
      <c r="AD10" s="2"/>
      <c r="AE10" s="2"/>
      <c r="AF10" s="2"/>
      <c r="AG10" s="2"/>
    </row>
    <row r="11" spans="1:35" s="34" customFormat="1" ht="47.25" x14ac:dyDescent="0.25">
      <c r="A11" s="2"/>
      <c r="B11" s="2" t="s">
        <v>139</v>
      </c>
      <c r="C11" s="91" t="s">
        <v>140</v>
      </c>
      <c r="D11" s="7">
        <v>2020</v>
      </c>
      <c r="E11" s="81" t="s">
        <v>141</v>
      </c>
      <c r="F11" s="91" t="s">
        <v>45</v>
      </c>
      <c r="G11" s="7" t="s">
        <v>46</v>
      </c>
      <c r="H11" s="3" t="s">
        <v>77</v>
      </c>
      <c r="I11" s="7" t="s">
        <v>47</v>
      </c>
      <c r="J11" s="7">
        <v>14</v>
      </c>
      <c r="K11" s="7">
        <v>300</v>
      </c>
      <c r="L11" s="7" t="s">
        <v>53</v>
      </c>
      <c r="M11" s="7" t="s">
        <v>47</v>
      </c>
      <c r="N11" s="7" t="s">
        <v>74</v>
      </c>
      <c r="O11" s="7"/>
      <c r="P11" s="7" t="s">
        <v>88</v>
      </c>
      <c r="Q11" s="7" t="s">
        <v>50</v>
      </c>
      <c r="R11" s="7" t="s">
        <v>47</v>
      </c>
      <c r="S11" s="3" t="s">
        <v>72</v>
      </c>
      <c r="T11" s="7" t="s">
        <v>47</v>
      </c>
      <c r="U11" s="7" t="s">
        <v>47</v>
      </c>
      <c r="V11" s="4" t="s">
        <v>356</v>
      </c>
      <c r="W11" s="302">
        <f>'Bardon data'!E$14</f>
        <v>10.206</v>
      </c>
      <c r="X11" s="2"/>
      <c r="Y11" s="346"/>
      <c r="Z11" s="2"/>
      <c r="AA11" s="2"/>
      <c r="AB11" s="2"/>
      <c r="AC11" s="2"/>
      <c r="AD11" s="2"/>
      <c r="AE11" s="2"/>
      <c r="AF11" s="2"/>
      <c r="AG11" s="2"/>
    </row>
    <row r="12" spans="1:35" s="34" customFormat="1" ht="47.25" x14ac:dyDescent="0.25">
      <c r="A12" s="2"/>
      <c r="B12" s="2" t="s">
        <v>139</v>
      </c>
      <c r="C12" s="91" t="s">
        <v>140</v>
      </c>
      <c r="D12" s="7">
        <v>2020</v>
      </c>
      <c r="E12" s="81" t="s">
        <v>141</v>
      </c>
      <c r="F12" s="91" t="s">
        <v>45</v>
      </c>
      <c r="G12" s="7" t="s">
        <v>46</v>
      </c>
      <c r="H12" s="3" t="s">
        <v>77</v>
      </c>
      <c r="I12" s="7" t="s">
        <v>47</v>
      </c>
      <c r="J12" s="7">
        <v>10</v>
      </c>
      <c r="K12" s="7">
        <v>300</v>
      </c>
      <c r="L12" s="7" t="s">
        <v>53</v>
      </c>
      <c r="M12" s="7" t="s">
        <v>47</v>
      </c>
      <c r="N12" s="7" t="s">
        <v>74</v>
      </c>
      <c r="O12" s="7"/>
      <c r="P12" s="7" t="s">
        <v>88</v>
      </c>
      <c r="Q12" s="7" t="s">
        <v>50</v>
      </c>
      <c r="R12" s="7" t="s">
        <v>47</v>
      </c>
      <c r="S12" s="3" t="s">
        <v>72</v>
      </c>
      <c r="T12" s="7" t="s">
        <v>47</v>
      </c>
      <c r="U12" s="7" t="s">
        <v>47</v>
      </c>
      <c r="V12" s="4" t="s">
        <v>356</v>
      </c>
      <c r="W12" s="302">
        <f>'Bardon data'!F$14</f>
        <v>13.185</v>
      </c>
      <c r="X12" s="2"/>
      <c r="Y12" s="346"/>
      <c r="Z12" s="2"/>
      <c r="AA12" s="2"/>
      <c r="AB12" s="2"/>
      <c r="AC12" s="2"/>
      <c r="AD12" s="2"/>
      <c r="AE12" s="2"/>
      <c r="AF12" s="2"/>
      <c r="AG12" s="2"/>
    </row>
    <row r="13" spans="1:35" s="34" customFormat="1" ht="63" x14ac:dyDescent="0.25">
      <c r="A13" s="2"/>
      <c r="B13" s="2" t="s">
        <v>139</v>
      </c>
      <c r="C13" s="91" t="s">
        <v>140</v>
      </c>
      <c r="D13" s="7">
        <v>2020</v>
      </c>
      <c r="E13" s="81" t="s">
        <v>141</v>
      </c>
      <c r="F13" s="91" t="s">
        <v>45</v>
      </c>
      <c r="G13" s="7" t="s">
        <v>46</v>
      </c>
      <c r="H13" s="3" t="s">
        <v>73</v>
      </c>
      <c r="I13" s="7" t="s">
        <v>47</v>
      </c>
      <c r="J13" s="7">
        <v>8</v>
      </c>
      <c r="K13" s="7">
        <v>300</v>
      </c>
      <c r="L13" s="7" t="s">
        <v>53</v>
      </c>
      <c r="M13" s="7" t="s">
        <v>47</v>
      </c>
      <c r="N13" s="7" t="s">
        <v>74</v>
      </c>
      <c r="O13" s="7"/>
      <c r="P13" s="7" t="s">
        <v>88</v>
      </c>
      <c r="Q13" s="7" t="s">
        <v>50</v>
      </c>
      <c r="R13" s="7" t="s">
        <v>47</v>
      </c>
      <c r="S13" s="3" t="s">
        <v>72</v>
      </c>
      <c r="T13" s="7" t="s">
        <v>47</v>
      </c>
      <c r="U13" s="7" t="s">
        <v>47</v>
      </c>
      <c r="V13" s="4" t="s">
        <v>357</v>
      </c>
      <c r="W13" s="302">
        <f>'Bardon data'!G$14</f>
        <v>14.751000000000001</v>
      </c>
      <c r="X13" s="2"/>
      <c r="Y13" s="346"/>
      <c r="Z13" s="2"/>
      <c r="AA13" s="2"/>
      <c r="AB13" s="2"/>
      <c r="AC13" s="2"/>
      <c r="AD13" s="2"/>
      <c r="AE13" s="2"/>
      <c r="AF13" s="2"/>
      <c r="AG13" s="2"/>
    </row>
    <row r="14" spans="1:35" s="34" customFormat="1" ht="63" x14ac:dyDescent="0.25">
      <c r="A14" s="2"/>
      <c r="B14" s="2" t="s">
        <v>139</v>
      </c>
      <c r="C14" s="91" t="s">
        <v>140</v>
      </c>
      <c r="D14" s="7">
        <v>2020</v>
      </c>
      <c r="E14" s="81" t="s">
        <v>141</v>
      </c>
      <c r="F14" s="91" t="s">
        <v>45</v>
      </c>
      <c r="G14" s="7" t="s">
        <v>46</v>
      </c>
      <c r="H14" s="3" t="s">
        <v>73</v>
      </c>
      <c r="I14" s="7" t="s">
        <v>47</v>
      </c>
      <c r="J14" s="7">
        <v>7</v>
      </c>
      <c r="K14" s="7">
        <v>300</v>
      </c>
      <c r="L14" s="7" t="s">
        <v>53</v>
      </c>
      <c r="M14" s="7" t="s">
        <v>47</v>
      </c>
      <c r="N14" s="7" t="s">
        <v>74</v>
      </c>
      <c r="O14" s="7"/>
      <c r="P14" s="7" t="s">
        <v>88</v>
      </c>
      <c r="Q14" s="7" t="s">
        <v>50</v>
      </c>
      <c r="R14" s="7" t="s">
        <v>47</v>
      </c>
      <c r="S14" s="3" t="s">
        <v>72</v>
      </c>
      <c r="T14" s="7" t="s">
        <v>47</v>
      </c>
      <c r="U14" s="7" t="s">
        <v>47</v>
      </c>
      <c r="V14" s="4" t="s">
        <v>357</v>
      </c>
      <c r="W14" s="302">
        <f>'Bardon data'!H$14</f>
        <v>18.881999999999998</v>
      </c>
      <c r="X14" s="2"/>
      <c r="Y14" s="346"/>
      <c r="Z14" s="2"/>
      <c r="AA14" s="2"/>
      <c r="AB14" s="2"/>
      <c r="AC14" s="2"/>
      <c r="AD14" s="2"/>
      <c r="AE14" s="2"/>
      <c r="AF14" s="2"/>
      <c r="AG14" s="2"/>
    </row>
    <row r="15" spans="1:35" s="34" customFormat="1" ht="47.25" x14ac:dyDescent="0.25">
      <c r="A15" s="2"/>
      <c r="B15" s="2" t="s">
        <v>139</v>
      </c>
      <c r="C15" s="91" t="s">
        <v>140</v>
      </c>
      <c r="D15" s="7">
        <v>2020</v>
      </c>
      <c r="E15" s="81" t="s">
        <v>141</v>
      </c>
      <c r="F15" s="91" t="s">
        <v>45</v>
      </c>
      <c r="G15" s="7" t="s">
        <v>46</v>
      </c>
      <c r="H15" s="3" t="s">
        <v>77</v>
      </c>
      <c r="I15" s="7" t="s">
        <v>47</v>
      </c>
      <c r="J15" s="7">
        <v>6</v>
      </c>
      <c r="K15" s="7">
        <v>300</v>
      </c>
      <c r="L15" s="7" t="s">
        <v>53</v>
      </c>
      <c r="M15" s="7" t="s">
        <v>47</v>
      </c>
      <c r="N15" s="7" t="s">
        <v>74</v>
      </c>
      <c r="O15" s="7"/>
      <c r="P15" s="7" t="s">
        <v>88</v>
      </c>
      <c r="Q15" s="7" t="s">
        <v>50</v>
      </c>
      <c r="R15" s="7" t="s">
        <v>47</v>
      </c>
      <c r="S15" s="3" t="s">
        <v>72</v>
      </c>
      <c r="T15" s="7" t="s">
        <v>47</v>
      </c>
      <c r="U15" s="7" t="s">
        <v>47</v>
      </c>
      <c r="V15" s="4" t="s">
        <v>356</v>
      </c>
      <c r="W15" s="302">
        <f>'Bardon data'!I$14</f>
        <v>24.902999999999999</v>
      </c>
      <c r="X15" s="2"/>
      <c r="Y15" s="346"/>
      <c r="Z15" s="2"/>
      <c r="AA15" s="2"/>
      <c r="AB15" s="2"/>
      <c r="AC15" s="2"/>
      <c r="AD15" s="2"/>
      <c r="AE15" s="2"/>
      <c r="AF15" s="2"/>
      <c r="AG15" s="2"/>
    </row>
    <row r="16" spans="1:35" s="34" customFormat="1" ht="47.25" x14ac:dyDescent="0.25">
      <c r="A16" s="2"/>
      <c r="B16" s="2" t="s">
        <v>139</v>
      </c>
      <c r="C16" s="91" t="s">
        <v>140</v>
      </c>
      <c r="D16" s="7">
        <v>2020</v>
      </c>
      <c r="E16" s="81" t="s">
        <v>141</v>
      </c>
      <c r="F16" s="91" t="s">
        <v>45</v>
      </c>
      <c r="G16" s="7" t="s">
        <v>46</v>
      </c>
      <c r="H16" s="3" t="s">
        <v>77</v>
      </c>
      <c r="I16" s="7" t="s">
        <v>47</v>
      </c>
      <c r="J16" s="7">
        <v>5</v>
      </c>
      <c r="K16" s="7">
        <v>300</v>
      </c>
      <c r="L16" s="7" t="s">
        <v>53</v>
      </c>
      <c r="M16" s="7" t="s">
        <v>47</v>
      </c>
      <c r="N16" s="7" t="s">
        <v>74</v>
      </c>
      <c r="O16" s="7"/>
      <c r="P16" s="7" t="s">
        <v>88</v>
      </c>
      <c r="Q16" s="7" t="s">
        <v>50</v>
      </c>
      <c r="R16" s="7" t="s">
        <v>47</v>
      </c>
      <c r="S16" s="3" t="s">
        <v>72</v>
      </c>
      <c r="T16" s="7" t="s">
        <v>47</v>
      </c>
      <c r="U16" s="7" t="s">
        <v>47</v>
      </c>
      <c r="V16" s="4" t="s">
        <v>356</v>
      </c>
      <c r="W16" s="302">
        <f>'Bardon data'!J$14</f>
        <v>25.838999999999999</v>
      </c>
      <c r="X16" s="2"/>
      <c r="Y16" s="346"/>
      <c r="Z16" s="2"/>
      <c r="AA16" s="2"/>
      <c r="AB16" s="2"/>
      <c r="AC16" s="2"/>
      <c r="AD16" s="2"/>
      <c r="AE16" s="2"/>
      <c r="AF16" s="2"/>
      <c r="AG16" s="2"/>
    </row>
    <row r="17" spans="1:33" s="34" customFormat="1" ht="47.25" x14ac:dyDescent="0.25">
      <c r="A17" s="2"/>
      <c r="B17" s="2" t="s">
        <v>139</v>
      </c>
      <c r="C17" s="91" t="s">
        <v>140</v>
      </c>
      <c r="D17" s="7">
        <v>2020</v>
      </c>
      <c r="E17" s="81" t="s">
        <v>141</v>
      </c>
      <c r="F17" s="91" t="s">
        <v>45</v>
      </c>
      <c r="G17" s="7" t="s">
        <v>46</v>
      </c>
      <c r="H17" s="3" t="s">
        <v>77</v>
      </c>
      <c r="I17" s="7" t="s">
        <v>47</v>
      </c>
      <c r="J17" s="7">
        <v>3</v>
      </c>
      <c r="K17" s="7">
        <v>300</v>
      </c>
      <c r="L17" s="7" t="s">
        <v>53</v>
      </c>
      <c r="M17" s="7" t="s">
        <v>47</v>
      </c>
      <c r="N17" s="7" t="s">
        <v>74</v>
      </c>
      <c r="O17" s="7"/>
      <c r="P17" s="7" t="s">
        <v>88</v>
      </c>
      <c r="Q17" s="7" t="s">
        <v>50</v>
      </c>
      <c r="R17" s="7" t="s">
        <v>47</v>
      </c>
      <c r="S17" s="3" t="s">
        <v>72</v>
      </c>
      <c r="T17" s="7" t="s">
        <v>47</v>
      </c>
      <c r="U17" s="7" t="s">
        <v>47</v>
      </c>
      <c r="V17" s="4" t="s">
        <v>356</v>
      </c>
      <c r="W17" s="302">
        <f>'Bardon data'!K$14</f>
        <v>29.457000000000001</v>
      </c>
      <c r="X17" s="2"/>
      <c r="Y17" s="346"/>
      <c r="Z17" s="2"/>
      <c r="AA17" s="2"/>
      <c r="AB17" s="2"/>
      <c r="AC17" s="2"/>
      <c r="AD17" s="2"/>
      <c r="AE17" s="2"/>
      <c r="AF17" s="2"/>
      <c r="AG17" s="2"/>
    </row>
    <row r="18" spans="1:33" s="34" customFormat="1" ht="126" x14ac:dyDescent="0.25">
      <c r="A18" s="2"/>
      <c r="B18" s="2" t="s">
        <v>84</v>
      </c>
      <c r="C18" s="21" t="s">
        <v>85</v>
      </c>
      <c r="D18" s="3">
        <v>2012</v>
      </c>
      <c r="E18" s="81" t="s">
        <v>86</v>
      </c>
      <c r="F18" s="91" t="s">
        <v>45</v>
      </c>
      <c r="G18" s="3" t="s">
        <v>46</v>
      </c>
      <c r="H18" s="3" t="s">
        <v>47</v>
      </c>
      <c r="I18" s="7" t="s">
        <v>81</v>
      </c>
      <c r="J18" s="3">
        <v>350</v>
      </c>
      <c r="K18" s="3">
        <v>200</v>
      </c>
      <c r="L18" s="3" t="s">
        <v>47</v>
      </c>
      <c r="M18" s="3" t="s">
        <v>47</v>
      </c>
      <c r="N18" s="3" t="s">
        <v>47</v>
      </c>
      <c r="O18" s="3"/>
      <c r="P18" s="3" t="s">
        <v>88</v>
      </c>
      <c r="Q18" s="3" t="s">
        <v>61</v>
      </c>
      <c r="R18" s="3" t="s">
        <v>47</v>
      </c>
      <c r="S18" s="7" t="s">
        <v>89</v>
      </c>
      <c r="T18" s="3" t="s">
        <v>47</v>
      </c>
      <c r="U18" s="3" t="s">
        <v>77</v>
      </c>
      <c r="V18" s="4" t="s">
        <v>358</v>
      </c>
      <c r="W18" s="303">
        <f>'Boyd data'!C33</f>
        <v>67.857142857142861</v>
      </c>
      <c r="X18" s="2"/>
      <c r="Y18" s="2"/>
      <c r="Z18" s="2"/>
      <c r="AA18" s="2"/>
      <c r="AB18" s="2"/>
      <c r="AC18" s="2"/>
      <c r="AD18" s="2"/>
      <c r="AE18" s="2"/>
      <c r="AF18" s="2"/>
      <c r="AG18" s="2"/>
    </row>
    <row r="19" spans="1:33" s="34" customFormat="1" ht="94.5" x14ac:dyDescent="0.25">
      <c r="A19" s="2"/>
      <c r="B19" s="2" t="s">
        <v>84</v>
      </c>
      <c r="C19" s="21" t="s">
        <v>85</v>
      </c>
      <c r="D19" s="3">
        <v>2012</v>
      </c>
      <c r="E19" s="81" t="s">
        <v>91</v>
      </c>
      <c r="F19" s="91" t="s">
        <v>45</v>
      </c>
      <c r="G19" s="3" t="s">
        <v>46</v>
      </c>
      <c r="H19" s="3" t="s">
        <v>47</v>
      </c>
      <c r="I19" s="7" t="s">
        <v>81</v>
      </c>
      <c r="J19" s="3">
        <v>250</v>
      </c>
      <c r="K19" s="3">
        <v>200</v>
      </c>
      <c r="L19" s="7" t="s">
        <v>47</v>
      </c>
      <c r="M19" s="7" t="s">
        <v>47</v>
      </c>
      <c r="N19" s="7" t="s">
        <v>47</v>
      </c>
      <c r="O19" s="3"/>
      <c r="P19" s="3" t="s">
        <v>88</v>
      </c>
      <c r="Q19" s="3" t="s">
        <v>61</v>
      </c>
      <c r="R19" s="7" t="s">
        <v>47</v>
      </c>
      <c r="S19" s="7" t="s">
        <v>89</v>
      </c>
      <c r="T19" s="3" t="s">
        <v>47</v>
      </c>
      <c r="U19" s="3" t="s">
        <v>77</v>
      </c>
      <c r="V19" s="4" t="s">
        <v>359</v>
      </c>
      <c r="W19" s="303">
        <f>'Boyd data'!D33</f>
        <v>52</v>
      </c>
      <c r="X19" s="2"/>
      <c r="Y19" s="2"/>
      <c r="Z19" s="2"/>
      <c r="AA19" s="2"/>
      <c r="AB19" s="2"/>
      <c r="AC19" s="2"/>
      <c r="AD19" s="2"/>
      <c r="AE19" s="2"/>
      <c r="AF19" s="2"/>
      <c r="AG19" s="2"/>
    </row>
    <row r="20" spans="1:33" s="34" customFormat="1" ht="94.5" x14ac:dyDescent="0.25">
      <c r="A20" s="2"/>
      <c r="B20" s="2" t="s">
        <v>84</v>
      </c>
      <c r="C20" s="21" t="s">
        <v>85</v>
      </c>
      <c r="D20" s="3">
        <v>2012</v>
      </c>
      <c r="E20" s="81" t="s">
        <v>92</v>
      </c>
      <c r="F20" s="91" t="s">
        <v>45</v>
      </c>
      <c r="G20" s="3" t="s">
        <v>46</v>
      </c>
      <c r="H20" s="3" t="s">
        <v>47</v>
      </c>
      <c r="I20" s="7" t="s">
        <v>81</v>
      </c>
      <c r="J20" s="3">
        <v>180</v>
      </c>
      <c r="K20" s="3">
        <v>300</v>
      </c>
      <c r="L20" s="7" t="s">
        <v>47</v>
      </c>
      <c r="M20" s="7" t="s">
        <v>47</v>
      </c>
      <c r="N20" s="7" t="s">
        <v>47</v>
      </c>
      <c r="O20" s="3"/>
      <c r="P20" s="3" t="s">
        <v>88</v>
      </c>
      <c r="Q20" s="3" t="s">
        <v>61</v>
      </c>
      <c r="R20" s="7" t="s">
        <v>47</v>
      </c>
      <c r="S20" s="7" t="s">
        <v>89</v>
      </c>
      <c r="T20" s="3" t="s">
        <v>47</v>
      </c>
      <c r="U20" s="3" t="s">
        <v>77</v>
      </c>
      <c r="V20" s="4" t="s">
        <v>359</v>
      </c>
      <c r="W20" s="303">
        <f>'Boyd data'!E33</f>
        <v>55.279999999999994</v>
      </c>
      <c r="X20" s="2"/>
      <c r="Y20" s="2"/>
      <c r="Z20" s="2"/>
      <c r="AA20" s="2"/>
      <c r="AB20" s="2"/>
      <c r="AC20" s="2"/>
      <c r="AD20" s="2"/>
      <c r="AE20" s="2"/>
      <c r="AF20" s="2"/>
      <c r="AG20" s="2"/>
    </row>
    <row r="21" spans="1:33" s="34" customFormat="1" ht="94.5" x14ac:dyDescent="0.25">
      <c r="A21" s="2"/>
      <c r="B21" s="2" t="s">
        <v>84</v>
      </c>
      <c r="C21" s="21" t="s">
        <v>85</v>
      </c>
      <c r="D21" s="3">
        <v>2012</v>
      </c>
      <c r="E21" s="81" t="s">
        <v>93</v>
      </c>
      <c r="F21" s="91" t="s">
        <v>45</v>
      </c>
      <c r="G21" s="3" t="s">
        <v>46</v>
      </c>
      <c r="H21" s="3" t="s">
        <v>47</v>
      </c>
      <c r="I21" s="7" t="s">
        <v>81</v>
      </c>
      <c r="J21" s="3">
        <v>130</v>
      </c>
      <c r="K21" s="3">
        <v>300</v>
      </c>
      <c r="L21" s="7" t="s">
        <v>47</v>
      </c>
      <c r="M21" s="7" t="s">
        <v>47</v>
      </c>
      <c r="N21" s="7" t="s">
        <v>47</v>
      </c>
      <c r="O21" s="3"/>
      <c r="P21" s="3" t="s">
        <v>88</v>
      </c>
      <c r="Q21" s="3" t="s">
        <v>61</v>
      </c>
      <c r="R21" s="7" t="s">
        <v>47</v>
      </c>
      <c r="S21" s="7" t="s">
        <v>89</v>
      </c>
      <c r="T21" s="3" t="s">
        <v>47</v>
      </c>
      <c r="U21" s="3" t="s">
        <v>77</v>
      </c>
      <c r="V21" s="4" t="s">
        <v>359</v>
      </c>
      <c r="W21" s="303">
        <f>'Boyd data'!F33</f>
        <v>41.928571428571431</v>
      </c>
      <c r="X21" s="2"/>
      <c r="Y21" s="2"/>
      <c r="Z21" s="2"/>
      <c r="AA21" s="2"/>
      <c r="AB21" s="2"/>
      <c r="AC21" s="2"/>
      <c r="AD21" s="2"/>
      <c r="AE21" s="2"/>
      <c r="AF21" s="2"/>
      <c r="AG21" s="2"/>
    </row>
    <row r="22" spans="1:33" s="34" customFormat="1" ht="94.5" x14ac:dyDescent="0.25">
      <c r="A22" s="2"/>
      <c r="B22" s="2" t="s">
        <v>84</v>
      </c>
      <c r="C22" s="21" t="s">
        <v>85</v>
      </c>
      <c r="D22" s="3">
        <v>2012</v>
      </c>
      <c r="E22" s="81" t="s">
        <v>94</v>
      </c>
      <c r="F22" s="91" t="s">
        <v>45</v>
      </c>
      <c r="G22" s="3" t="s">
        <v>46</v>
      </c>
      <c r="H22" s="3" t="s">
        <v>47</v>
      </c>
      <c r="I22" s="7" t="s">
        <v>81</v>
      </c>
      <c r="J22" s="3">
        <v>90</v>
      </c>
      <c r="K22" s="3">
        <v>300</v>
      </c>
      <c r="L22" s="7" t="s">
        <v>47</v>
      </c>
      <c r="M22" s="7" t="s">
        <v>47</v>
      </c>
      <c r="N22" s="7" t="s">
        <v>47</v>
      </c>
      <c r="O22" s="3"/>
      <c r="P22" s="3" t="s">
        <v>88</v>
      </c>
      <c r="Q22" s="3" t="s">
        <v>61</v>
      </c>
      <c r="R22" s="7" t="s">
        <v>47</v>
      </c>
      <c r="S22" s="7" t="s">
        <v>89</v>
      </c>
      <c r="T22" s="3" t="s">
        <v>47</v>
      </c>
      <c r="U22" s="3" t="s">
        <v>77</v>
      </c>
      <c r="V22" s="4" t="s">
        <v>359</v>
      </c>
      <c r="W22" s="303">
        <f>'Boyd data'!G33</f>
        <v>45.071428571428577</v>
      </c>
      <c r="X22" s="2"/>
      <c r="Y22" s="2"/>
      <c r="Z22" s="2"/>
      <c r="AA22" s="2"/>
      <c r="AB22" s="2"/>
      <c r="AC22" s="2"/>
      <c r="AD22" s="2"/>
      <c r="AE22" s="2"/>
      <c r="AF22" s="2"/>
      <c r="AG22" s="2"/>
    </row>
    <row r="23" spans="1:33" s="34" customFormat="1" ht="94.5" x14ac:dyDescent="0.25">
      <c r="A23" s="2"/>
      <c r="B23" s="2" t="s">
        <v>84</v>
      </c>
      <c r="C23" s="21" t="s">
        <v>85</v>
      </c>
      <c r="D23" s="3">
        <v>2012</v>
      </c>
      <c r="E23" s="81" t="s">
        <v>95</v>
      </c>
      <c r="F23" s="91" t="s">
        <v>45</v>
      </c>
      <c r="G23" s="3" t="s">
        <v>46</v>
      </c>
      <c r="H23" s="3" t="s">
        <v>47</v>
      </c>
      <c r="I23" s="7" t="s">
        <v>81</v>
      </c>
      <c r="J23" s="3">
        <v>65</v>
      </c>
      <c r="K23" s="3">
        <v>300</v>
      </c>
      <c r="L23" s="7" t="s">
        <v>47</v>
      </c>
      <c r="M23" s="7" t="s">
        <v>47</v>
      </c>
      <c r="N23" s="7" t="s">
        <v>47</v>
      </c>
      <c r="O23" s="3"/>
      <c r="P23" s="3" t="s">
        <v>88</v>
      </c>
      <c r="Q23" s="3" t="s">
        <v>61</v>
      </c>
      <c r="R23" s="7" t="s">
        <v>47</v>
      </c>
      <c r="S23" s="7" t="s">
        <v>89</v>
      </c>
      <c r="T23" s="3" t="s">
        <v>47</v>
      </c>
      <c r="U23" s="3" t="s">
        <v>77</v>
      </c>
      <c r="V23" s="4" t="s">
        <v>359</v>
      </c>
      <c r="W23" s="303">
        <f>'Boyd data'!H33</f>
        <v>49.857142857142861</v>
      </c>
      <c r="X23" s="2"/>
      <c r="Y23" s="2"/>
      <c r="Z23" s="2"/>
      <c r="AA23" s="2"/>
      <c r="AB23" s="2"/>
      <c r="AC23" s="2"/>
      <c r="AD23" s="2"/>
      <c r="AE23" s="2"/>
      <c r="AF23" s="2"/>
      <c r="AG23" s="2"/>
    </row>
    <row r="24" spans="1:33" s="34" customFormat="1" ht="94.5" x14ac:dyDescent="0.25">
      <c r="A24" s="2"/>
      <c r="B24" s="2" t="s">
        <v>84</v>
      </c>
      <c r="C24" s="21" t="s">
        <v>85</v>
      </c>
      <c r="D24" s="3">
        <v>2012</v>
      </c>
      <c r="E24" s="81" t="s">
        <v>96</v>
      </c>
      <c r="F24" s="91" t="s">
        <v>45</v>
      </c>
      <c r="G24" s="3" t="s">
        <v>46</v>
      </c>
      <c r="H24" s="3" t="s">
        <v>47</v>
      </c>
      <c r="I24" s="7" t="s">
        <v>81</v>
      </c>
      <c r="J24" s="3">
        <v>45</v>
      </c>
      <c r="K24" s="3">
        <v>300</v>
      </c>
      <c r="L24" s="7" t="s">
        <v>47</v>
      </c>
      <c r="M24" s="7" t="s">
        <v>47</v>
      </c>
      <c r="N24" s="7" t="s">
        <v>47</v>
      </c>
      <c r="O24" s="3"/>
      <c r="P24" s="3" t="s">
        <v>88</v>
      </c>
      <c r="Q24" s="3" t="s">
        <v>61</v>
      </c>
      <c r="R24" s="7" t="s">
        <v>47</v>
      </c>
      <c r="S24" s="7" t="s">
        <v>89</v>
      </c>
      <c r="T24" s="3" t="s">
        <v>47</v>
      </c>
      <c r="U24" s="3" t="s">
        <v>77</v>
      </c>
      <c r="V24" s="4" t="s">
        <v>359</v>
      </c>
      <c r="W24" s="303">
        <f>'Boyd data'!I33</f>
        <v>57.714285714285715</v>
      </c>
      <c r="X24" s="2"/>
      <c r="Y24" s="2"/>
      <c r="Z24" s="2"/>
      <c r="AA24" s="2"/>
      <c r="AB24" s="2"/>
      <c r="AC24" s="2"/>
      <c r="AD24" s="2"/>
      <c r="AE24" s="2"/>
      <c r="AF24" s="2"/>
      <c r="AG24" s="2"/>
    </row>
    <row r="25" spans="1:33" s="34" customFormat="1" ht="94.5" x14ac:dyDescent="0.25">
      <c r="A25" s="2"/>
      <c r="B25" s="2" t="s">
        <v>84</v>
      </c>
      <c r="C25" s="21" t="s">
        <v>85</v>
      </c>
      <c r="D25" s="3">
        <v>2012</v>
      </c>
      <c r="E25" s="81" t="s">
        <v>97</v>
      </c>
      <c r="F25" s="91" t="s">
        <v>45</v>
      </c>
      <c r="G25" s="3" t="s">
        <v>46</v>
      </c>
      <c r="H25" s="3" t="s">
        <v>47</v>
      </c>
      <c r="I25" s="7" t="s">
        <v>81</v>
      </c>
      <c r="J25" s="3">
        <v>32</v>
      </c>
      <c r="K25" s="3">
        <v>300</v>
      </c>
      <c r="L25" s="7" t="s">
        <v>47</v>
      </c>
      <c r="M25" s="7" t="s">
        <v>47</v>
      </c>
      <c r="N25" s="7" t="s">
        <v>47</v>
      </c>
      <c r="O25" s="3"/>
      <c r="P25" s="3" t="s">
        <v>88</v>
      </c>
      <c r="Q25" s="3" t="s">
        <v>61</v>
      </c>
      <c r="R25" s="7" t="s">
        <v>47</v>
      </c>
      <c r="S25" s="7" t="s">
        <v>89</v>
      </c>
      <c r="T25" s="3" t="s">
        <v>47</v>
      </c>
      <c r="U25" s="3" t="s">
        <v>77</v>
      </c>
      <c r="V25" s="4" t="s">
        <v>359</v>
      </c>
      <c r="W25" s="303">
        <f>'Boyd data'!J33</f>
        <v>60.285714285714285</v>
      </c>
      <c r="X25" s="2"/>
      <c r="Y25" s="2"/>
      <c r="Z25" s="2"/>
      <c r="AA25" s="2"/>
      <c r="AB25" s="2"/>
      <c r="AC25" s="2"/>
      <c r="AD25" s="2"/>
      <c r="AE25" s="2"/>
      <c r="AF25" s="2"/>
      <c r="AG25" s="2"/>
    </row>
    <row r="26" spans="1:33" s="34" customFormat="1" ht="47.25" x14ac:dyDescent="0.25">
      <c r="A26" s="6"/>
      <c r="B26" s="6" t="s">
        <v>115</v>
      </c>
      <c r="C26" s="21" t="s">
        <v>116</v>
      </c>
      <c r="D26" s="7">
        <v>2016</v>
      </c>
      <c r="E26" s="81" t="s">
        <v>117</v>
      </c>
      <c r="F26" s="91" t="s">
        <v>45</v>
      </c>
      <c r="G26" s="7" t="s">
        <v>46</v>
      </c>
      <c r="H26" s="7" t="s">
        <v>47</v>
      </c>
      <c r="I26" s="7" t="s">
        <v>47</v>
      </c>
      <c r="J26" s="7" t="s">
        <v>74</v>
      </c>
      <c r="K26" s="7" t="s">
        <v>74</v>
      </c>
      <c r="L26" s="7" t="s">
        <v>47</v>
      </c>
      <c r="M26" s="7" t="s">
        <v>47</v>
      </c>
      <c r="N26" s="7" t="s">
        <v>47</v>
      </c>
      <c r="O26" s="7"/>
      <c r="P26" s="7" t="s">
        <v>118</v>
      </c>
      <c r="Q26" s="7" t="s">
        <v>74</v>
      </c>
      <c r="R26" s="7" t="s">
        <v>72</v>
      </c>
      <c r="S26" s="7" t="s">
        <v>113</v>
      </c>
      <c r="T26" s="7" t="s">
        <v>53</v>
      </c>
      <c r="U26" s="7" t="s">
        <v>47</v>
      </c>
      <c r="V26" s="5" t="s">
        <v>360</v>
      </c>
      <c r="W26" s="303">
        <f>'Ercan data'!E7</f>
        <v>27</v>
      </c>
      <c r="X26" s="79"/>
      <c r="Y26" s="79"/>
      <c r="Z26" s="6"/>
      <c r="AA26" s="6"/>
      <c r="AB26" s="6"/>
      <c r="AC26" s="6"/>
      <c r="AD26" s="6"/>
      <c r="AE26" s="6"/>
      <c r="AF26" s="6"/>
      <c r="AG26" s="6"/>
    </row>
    <row r="27" spans="1:33" s="34" customFormat="1" ht="126" x14ac:dyDescent="0.25">
      <c r="A27" s="6"/>
      <c r="B27" s="6" t="s">
        <v>145</v>
      </c>
      <c r="C27" s="21" t="s">
        <v>146</v>
      </c>
      <c r="D27" s="7">
        <v>2014</v>
      </c>
      <c r="E27" s="353" t="s">
        <v>147</v>
      </c>
      <c r="F27" s="91" t="s">
        <v>45</v>
      </c>
      <c r="G27" s="7" t="s">
        <v>74</v>
      </c>
      <c r="H27" s="7" t="s">
        <v>74</v>
      </c>
      <c r="I27" s="7" t="s">
        <v>81</v>
      </c>
      <c r="J27" s="7" t="s">
        <v>74</v>
      </c>
      <c r="K27" s="7" t="s">
        <v>74</v>
      </c>
      <c r="L27" s="7" t="s">
        <v>74</v>
      </c>
      <c r="M27" s="7" t="s">
        <v>74</v>
      </c>
      <c r="N27" s="7" t="s">
        <v>47</v>
      </c>
      <c r="O27" s="7" t="s">
        <v>107</v>
      </c>
      <c r="P27" s="7" t="s">
        <v>118</v>
      </c>
      <c r="Q27" s="7" t="s">
        <v>61</v>
      </c>
      <c r="R27" s="7" t="s">
        <v>53</v>
      </c>
      <c r="S27" s="7" t="s">
        <v>72</v>
      </c>
      <c r="T27" s="7" t="s">
        <v>53</v>
      </c>
      <c r="U27" s="7" t="s">
        <v>53</v>
      </c>
      <c r="V27" s="5" t="s">
        <v>148</v>
      </c>
      <c r="W27" s="303">
        <f>'Teehan data'!K23</f>
        <v>55.71753986332574</v>
      </c>
      <c r="X27" s="79"/>
      <c r="Y27" s="79"/>
      <c r="Z27" s="6"/>
      <c r="AA27" s="6"/>
      <c r="AB27" s="6"/>
      <c r="AC27" s="6"/>
      <c r="AD27" s="6"/>
      <c r="AE27" s="6"/>
      <c r="AF27" s="6"/>
      <c r="AG27" s="6"/>
    </row>
    <row r="28" spans="1:33" s="34" customFormat="1" ht="126" x14ac:dyDescent="0.25">
      <c r="A28" s="6"/>
      <c r="B28" s="6" t="s">
        <v>145</v>
      </c>
      <c r="C28" s="21" t="s">
        <v>146</v>
      </c>
      <c r="D28" s="7">
        <v>2014</v>
      </c>
      <c r="E28" s="353" t="s">
        <v>147</v>
      </c>
      <c r="F28" s="91" t="s">
        <v>45</v>
      </c>
      <c r="G28" s="7" t="s">
        <v>74</v>
      </c>
      <c r="H28" s="7" t="s">
        <v>74</v>
      </c>
      <c r="I28" s="7" t="s">
        <v>81</v>
      </c>
      <c r="J28" s="7" t="s">
        <v>74</v>
      </c>
      <c r="K28" s="7" t="s">
        <v>74</v>
      </c>
      <c r="L28" s="7" t="s">
        <v>74</v>
      </c>
      <c r="M28" s="7" t="s">
        <v>74</v>
      </c>
      <c r="N28" s="7" t="s">
        <v>47</v>
      </c>
      <c r="O28" s="7" t="s">
        <v>107</v>
      </c>
      <c r="P28" s="7" t="s">
        <v>118</v>
      </c>
      <c r="Q28" s="7" t="s">
        <v>61</v>
      </c>
      <c r="R28" s="7" t="s">
        <v>53</v>
      </c>
      <c r="S28" s="7" t="s">
        <v>72</v>
      </c>
      <c r="T28" s="7" t="s">
        <v>53</v>
      </c>
      <c r="U28" s="7" t="s">
        <v>53</v>
      </c>
      <c r="V28" s="5" t="s">
        <v>148</v>
      </c>
      <c r="W28" s="303">
        <f>'Teehan data'!K24</f>
        <v>80.303030303030297</v>
      </c>
      <c r="X28" s="79"/>
      <c r="Y28" s="79"/>
      <c r="Z28" s="6"/>
      <c r="AA28" s="6"/>
      <c r="AB28" s="6"/>
      <c r="AC28" s="6"/>
      <c r="AD28" s="6"/>
      <c r="AE28" s="6"/>
      <c r="AF28" s="6"/>
      <c r="AG28" s="6"/>
    </row>
    <row r="29" spans="1:33" s="34" customFormat="1" ht="63" x14ac:dyDescent="0.25">
      <c r="A29" s="6"/>
      <c r="B29" s="6" t="s">
        <v>361</v>
      </c>
      <c r="C29" s="21" t="s">
        <v>128</v>
      </c>
      <c r="D29" s="7">
        <v>2012</v>
      </c>
      <c r="E29" s="353" t="s">
        <v>129</v>
      </c>
      <c r="F29" s="91" t="s">
        <v>45</v>
      </c>
      <c r="G29" s="7" t="s">
        <v>46</v>
      </c>
      <c r="H29" s="7" t="s">
        <v>47</v>
      </c>
      <c r="I29" s="7" t="s">
        <v>74</v>
      </c>
      <c r="J29" s="7">
        <v>130</v>
      </c>
      <c r="K29" s="7">
        <v>300</v>
      </c>
      <c r="L29" s="7" t="s">
        <v>74</v>
      </c>
      <c r="M29" s="7" t="s">
        <v>74</v>
      </c>
      <c r="N29" s="7" t="s">
        <v>74</v>
      </c>
      <c r="O29" s="7" t="s">
        <v>74</v>
      </c>
      <c r="P29" s="7" t="s">
        <v>118</v>
      </c>
      <c r="Q29" s="7" t="s">
        <v>50</v>
      </c>
      <c r="R29" s="7" t="s">
        <v>53</v>
      </c>
      <c r="S29" s="7" t="s">
        <v>72</v>
      </c>
      <c r="T29" s="7" t="s">
        <v>53</v>
      </c>
      <c r="U29" s="7" t="s">
        <v>362</v>
      </c>
      <c r="V29" s="5" t="s">
        <v>363</v>
      </c>
      <c r="W29" s="303">
        <f>'Bol data'!J11</f>
        <v>19.77272727272727</v>
      </c>
      <c r="X29" s="79"/>
      <c r="Y29" s="79"/>
      <c r="Z29" s="6"/>
      <c r="AA29" s="6"/>
      <c r="AB29" s="6"/>
      <c r="AC29" s="6"/>
      <c r="AD29" s="6"/>
      <c r="AE29" s="6"/>
      <c r="AF29" s="6"/>
      <c r="AG29" s="6"/>
    </row>
    <row r="30" spans="1:33" s="34" customFormat="1" ht="63" x14ac:dyDescent="0.25">
      <c r="A30" s="6"/>
      <c r="B30" s="6" t="s">
        <v>361</v>
      </c>
      <c r="C30" s="21" t="s">
        <v>128</v>
      </c>
      <c r="D30" s="7">
        <v>2012</v>
      </c>
      <c r="E30" s="353" t="s">
        <v>129</v>
      </c>
      <c r="F30" s="91" t="s">
        <v>45</v>
      </c>
      <c r="G30" s="7" t="s">
        <v>46</v>
      </c>
      <c r="H30" s="7" t="s">
        <v>47</v>
      </c>
      <c r="I30" s="7" t="s">
        <v>74</v>
      </c>
      <c r="J30" s="7">
        <v>65</v>
      </c>
      <c r="K30" s="7">
        <v>300</v>
      </c>
      <c r="L30" s="7" t="s">
        <v>74</v>
      </c>
      <c r="M30" s="7" t="s">
        <v>74</v>
      </c>
      <c r="N30" s="7" t="s">
        <v>74</v>
      </c>
      <c r="O30" s="7" t="s">
        <v>74</v>
      </c>
      <c r="P30" s="7" t="s">
        <v>118</v>
      </c>
      <c r="Q30" s="7" t="s">
        <v>50</v>
      </c>
      <c r="R30" s="7" t="s">
        <v>53</v>
      </c>
      <c r="S30" s="7" t="s">
        <v>72</v>
      </c>
      <c r="T30" s="7" t="s">
        <v>53</v>
      </c>
      <c r="U30" s="7" t="s">
        <v>362</v>
      </c>
      <c r="V30" s="5" t="s">
        <v>363</v>
      </c>
      <c r="W30" s="303">
        <f>'Bol data'!K11</f>
        <v>24.882629107981224</v>
      </c>
      <c r="X30" s="79"/>
      <c r="Y30" s="79"/>
      <c r="Z30" s="6"/>
      <c r="AA30" s="6"/>
      <c r="AB30" s="6"/>
      <c r="AC30" s="6"/>
      <c r="AD30" s="6"/>
      <c r="AE30" s="6"/>
      <c r="AF30" s="6"/>
      <c r="AG30" s="6"/>
    </row>
    <row r="31" spans="1:33" s="34" customFormat="1" ht="63" x14ac:dyDescent="0.25">
      <c r="A31" s="6"/>
      <c r="B31" s="6" t="s">
        <v>361</v>
      </c>
      <c r="C31" s="21" t="s">
        <v>128</v>
      </c>
      <c r="D31" s="7">
        <v>2012</v>
      </c>
      <c r="E31" s="353" t="s">
        <v>129</v>
      </c>
      <c r="F31" s="91" t="s">
        <v>45</v>
      </c>
      <c r="G31" s="7" t="s">
        <v>46</v>
      </c>
      <c r="H31" s="7" t="s">
        <v>47</v>
      </c>
      <c r="I31" s="7" t="s">
        <v>74</v>
      </c>
      <c r="J31" s="7">
        <v>65</v>
      </c>
      <c r="K31" s="7">
        <v>300</v>
      </c>
      <c r="L31" s="7" t="s">
        <v>74</v>
      </c>
      <c r="M31" s="7" t="s">
        <v>74</v>
      </c>
      <c r="N31" s="7" t="s">
        <v>74</v>
      </c>
      <c r="O31" s="7" t="s">
        <v>74</v>
      </c>
      <c r="P31" s="7" t="s">
        <v>118</v>
      </c>
      <c r="Q31" s="7" t="s">
        <v>50</v>
      </c>
      <c r="R31" s="7" t="s">
        <v>53</v>
      </c>
      <c r="S31" s="7" t="s">
        <v>72</v>
      </c>
      <c r="T31" s="7" t="s">
        <v>53</v>
      </c>
      <c r="U31" s="7" t="s">
        <v>362</v>
      </c>
      <c r="V31" s="5" t="s">
        <v>363</v>
      </c>
      <c r="W31" s="303">
        <f>'Bol data'!L11</f>
        <v>29.545454545454547</v>
      </c>
      <c r="X31" s="79"/>
      <c r="Y31" s="79"/>
      <c r="Z31" s="6"/>
      <c r="AA31" s="6"/>
      <c r="AB31" s="6"/>
      <c r="AC31" s="6"/>
      <c r="AD31" s="6"/>
      <c r="AE31" s="6"/>
      <c r="AF31" s="6"/>
      <c r="AG31" s="6"/>
    </row>
    <row r="32" spans="1:33" s="34" customFormat="1" ht="47.25" x14ac:dyDescent="0.25">
      <c r="A32" s="6"/>
      <c r="B32" s="6" t="s">
        <v>364</v>
      </c>
      <c r="C32" s="21" t="s">
        <v>128</v>
      </c>
      <c r="D32" s="7">
        <v>2011</v>
      </c>
      <c r="E32" s="353" t="s">
        <v>365</v>
      </c>
      <c r="F32" s="91" t="s">
        <v>45</v>
      </c>
      <c r="G32" s="7" t="s">
        <v>46</v>
      </c>
      <c r="H32" s="7" t="s">
        <v>47</v>
      </c>
      <c r="I32" s="7" t="s">
        <v>53</v>
      </c>
      <c r="J32" s="7">
        <f>'Bol data'!Q6</f>
        <v>32</v>
      </c>
      <c r="K32" s="7" t="s">
        <v>74</v>
      </c>
      <c r="L32" s="7" t="s">
        <v>47</v>
      </c>
      <c r="M32" s="7" t="s">
        <v>47</v>
      </c>
      <c r="N32" s="7" t="s">
        <v>47</v>
      </c>
      <c r="O32" s="7" t="s">
        <v>74</v>
      </c>
      <c r="P32" s="7" t="s">
        <v>55</v>
      </c>
      <c r="Q32" s="7" t="s">
        <v>61</v>
      </c>
      <c r="R32" s="7" t="s">
        <v>53</v>
      </c>
      <c r="S32" s="7" t="s">
        <v>103</v>
      </c>
      <c r="T32" s="7" t="s">
        <v>53</v>
      </c>
      <c r="U32" s="7" t="s">
        <v>113</v>
      </c>
      <c r="V32" s="5" t="s">
        <v>366</v>
      </c>
      <c r="W32" s="303">
        <f>'Bol data'!Q11</f>
        <v>72.025000000000006</v>
      </c>
      <c r="X32" s="194"/>
      <c r="Y32" s="79"/>
      <c r="Z32" s="6"/>
      <c r="AA32" s="6"/>
      <c r="AB32" s="6"/>
      <c r="AC32" s="6"/>
      <c r="AD32" s="6"/>
      <c r="AE32" s="6"/>
      <c r="AF32" s="6"/>
      <c r="AG32" s="6"/>
    </row>
    <row r="33" spans="1:33" s="34" customFormat="1" ht="47.25" x14ac:dyDescent="0.25">
      <c r="A33" s="6"/>
      <c r="B33" s="6" t="s">
        <v>364</v>
      </c>
      <c r="C33" s="21" t="s">
        <v>128</v>
      </c>
      <c r="D33" s="7">
        <v>2011</v>
      </c>
      <c r="E33" s="353" t="s">
        <v>367</v>
      </c>
      <c r="F33" s="91" t="s">
        <v>45</v>
      </c>
      <c r="G33" s="7" t="s">
        <v>46</v>
      </c>
      <c r="H33" s="7" t="s">
        <v>47</v>
      </c>
      <c r="I33" s="7" t="s">
        <v>53</v>
      </c>
      <c r="J33" s="7">
        <f>'Bol data'!R6</f>
        <v>32</v>
      </c>
      <c r="K33" s="7" t="s">
        <v>74</v>
      </c>
      <c r="L33" s="7" t="s">
        <v>47</v>
      </c>
      <c r="M33" s="7" t="s">
        <v>47</v>
      </c>
      <c r="N33" s="7" t="s">
        <v>47</v>
      </c>
      <c r="O33" s="7" t="s">
        <v>74</v>
      </c>
      <c r="P33" s="7" t="s">
        <v>55</v>
      </c>
      <c r="Q33" s="7" t="s">
        <v>61</v>
      </c>
      <c r="R33" s="7" t="s">
        <v>53</v>
      </c>
      <c r="S33" s="7" t="s">
        <v>103</v>
      </c>
      <c r="T33" s="7" t="s">
        <v>53</v>
      </c>
      <c r="U33" s="7" t="s">
        <v>113</v>
      </c>
      <c r="V33" s="5" t="s">
        <v>366</v>
      </c>
      <c r="W33" s="303">
        <f>'Bol data'!R11</f>
        <v>27.498750000000001</v>
      </c>
      <c r="X33" s="79"/>
      <c r="Y33" s="79"/>
      <c r="Z33" s="6"/>
      <c r="AA33" s="6"/>
      <c r="AB33" s="6"/>
      <c r="AC33" s="6"/>
      <c r="AD33" s="6"/>
      <c r="AE33" s="6"/>
      <c r="AF33" s="6"/>
      <c r="AG33" s="6"/>
    </row>
    <row r="34" spans="1:33" s="34" customFormat="1" ht="47.25" x14ac:dyDescent="0.25">
      <c r="A34" s="6"/>
      <c r="B34" s="6" t="s">
        <v>364</v>
      </c>
      <c r="C34" s="21" t="s">
        <v>128</v>
      </c>
      <c r="D34" s="7">
        <v>2011</v>
      </c>
      <c r="E34" s="353" t="s">
        <v>368</v>
      </c>
      <c r="F34" s="91" t="s">
        <v>45</v>
      </c>
      <c r="G34" s="7" t="s">
        <v>46</v>
      </c>
      <c r="H34" s="7" t="s">
        <v>47</v>
      </c>
      <c r="I34" s="7" t="s">
        <v>53</v>
      </c>
      <c r="J34" s="7">
        <f>'Bol data'!S6</f>
        <v>45</v>
      </c>
      <c r="K34" s="7" t="s">
        <v>74</v>
      </c>
      <c r="L34" s="7" t="s">
        <v>47</v>
      </c>
      <c r="M34" s="7" t="s">
        <v>47</v>
      </c>
      <c r="N34" s="7" t="s">
        <v>47</v>
      </c>
      <c r="O34" s="7" t="s">
        <v>74</v>
      </c>
      <c r="P34" s="7" t="s">
        <v>55</v>
      </c>
      <c r="Q34" s="7" t="s">
        <v>61</v>
      </c>
      <c r="R34" s="7" t="s">
        <v>53</v>
      </c>
      <c r="S34" s="7" t="s">
        <v>103</v>
      </c>
      <c r="T34" s="7" t="s">
        <v>53</v>
      </c>
      <c r="U34" s="7" t="s">
        <v>113</v>
      </c>
      <c r="V34" s="5" t="s">
        <v>366</v>
      </c>
      <c r="W34" s="303">
        <f>'Bol data'!S11</f>
        <v>28.782857142857143</v>
      </c>
      <c r="X34" s="79"/>
      <c r="Y34" s="79"/>
      <c r="Z34" s="6"/>
      <c r="AA34" s="6"/>
      <c r="AB34" s="6"/>
      <c r="AC34" s="6"/>
      <c r="AD34" s="6"/>
      <c r="AE34" s="6"/>
      <c r="AF34" s="6"/>
      <c r="AG34" s="6"/>
    </row>
    <row r="35" spans="1:33" s="34" customFormat="1" ht="47.25" x14ac:dyDescent="0.25">
      <c r="A35" s="6"/>
      <c r="B35" s="6" t="s">
        <v>364</v>
      </c>
      <c r="C35" s="21" t="s">
        <v>128</v>
      </c>
      <c r="D35" s="7">
        <v>2011</v>
      </c>
      <c r="E35" s="353" t="s">
        <v>369</v>
      </c>
      <c r="F35" s="91" t="s">
        <v>45</v>
      </c>
      <c r="G35" s="7" t="s">
        <v>46</v>
      </c>
      <c r="H35" s="7" t="s">
        <v>47</v>
      </c>
      <c r="I35" s="7" t="s">
        <v>53</v>
      </c>
      <c r="J35" s="7">
        <f>'Bol data'!T6</f>
        <v>45</v>
      </c>
      <c r="K35" s="7" t="s">
        <v>74</v>
      </c>
      <c r="L35" s="7" t="s">
        <v>47</v>
      </c>
      <c r="M35" s="7" t="s">
        <v>47</v>
      </c>
      <c r="N35" s="7" t="s">
        <v>47</v>
      </c>
      <c r="O35" s="7" t="s">
        <v>74</v>
      </c>
      <c r="P35" s="7" t="s">
        <v>55</v>
      </c>
      <c r="Q35" s="7" t="s">
        <v>61</v>
      </c>
      <c r="R35" s="7" t="s">
        <v>53</v>
      </c>
      <c r="S35" s="7" t="s">
        <v>103</v>
      </c>
      <c r="T35" s="7" t="s">
        <v>53</v>
      </c>
      <c r="U35" s="7" t="s">
        <v>113</v>
      </c>
      <c r="V35" s="5" t="s">
        <v>366</v>
      </c>
      <c r="W35" s="303">
        <f>'Bol data'!T11</f>
        <v>25.824000000000002</v>
      </c>
      <c r="X35" s="79"/>
      <c r="Y35" s="79"/>
      <c r="Z35" s="6"/>
      <c r="AA35" s="6"/>
      <c r="AB35" s="6"/>
      <c r="AC35" s="6"/>
      <c r="AD35" s="6"/>
      <c r="AE35" s="6"/>
      <c r="AF35" s="6"/>
      <c r="AG35" s="6"/>
    </row>
    <row r="36" spans="1:33" s="34" customFormat="1" ht="47.25" x14ac:dyDescent="0.25">
      <c r="A36" s="6"/>
      <c r="B36" s="6" t="s">
        <v>364</v>
      </c>
      <c r="C36" s="21" t="s">
        <v>128</v>
      </c>
      <c r="D36" s="7">
        <v>2011</v>
      </c>
      <c r="E36" s="353" t="s">
        <v>370</v>
      </c>
      <c r="F36" s="91" t="s">
        <v>45</v>
      </c>
      <c r="G36" s="7" t="s">
        <v>156</v>
      </c>
      <c r="H36" s="7" t="s">
        <v>47</v>
      </c>
      <c r="I36" s="7" t="s">
        <v>53</v>
      </c>
      <c r="J36" s="7">
        <f>'Bol data'!U6</f>
        <v>130</v>
      </c>
      <c r="K36" s="7" t="s">
        <v>74</v>
      </c>
      <c r="L36" s="7" t="s">
        <v>47</v>
      </c>
      <c r="M36" s="7" t="s">
        <v>47</v>
      </c>
      <c r="N36" s="7" t="s">
        <v>47</v>
      </c>
      <c r="O36" s="7" t="s">
        <v>74</v>
      </c>
      <c r="P36" s="7" t="s">
        <v>55</v>
      </c>
      <c r="Q36" s="7" t="s">
        <v>61</v>
      </c>
      <c r="R36" s="7" t="s">
        <v>53</v>
      </c>
      <c r="S36" s="7" t="s">
        <v>103</v>
      </c>
      <c r="T36" s="7" t="s">
        <v>53</v>
      </c>
      <c r="U36" s="7" t="s">
        <v>113</v>
      </c>
      <c r="V36" s="5" t="s">
        <v>371</v>
      </c>
      <c r="W36" s="303">
        <f>'Bol data'!U11</f>
        <v>12.6</v>
      </c>
      <c r="X36" s="79"/>
      <c r="Y36" s="79"/>
      <c r="Z36" s="6"/>
      <c r="AA36" s="6"/>
      <c r="AB36" s="6"/>
      <c r="AC36" s="6"/>
      <c r="AD36" s="6"/>
      <c r="AE36" s="6"/>
      <c r="AF36" s="6"/>
      <c r="AG36" s="6"/>
    </row>
    <row r="37" spans="1:33" s="34" customFormat="1" ht="47.25" x14ac:dyDescent="0.25">
      <c r="A37" s="6"/>
      <c r="B37" s="6" t="s">
        <v>372</v>
      </c>
      <c r="C37" s="21" t="s">
        <v>373</v>
      </c>
      <c r="D37" s="7">
        <v>2014</v>
      </c>
      <c r="E37" s="353" t="s">
        <v>374</v>
      </c>
      <c r="F37" s="91" t="s">
        <v>45</v>
      </c>
      <c r="G37" s="7" t="s">
        <v>375</v>
      </c>
      <c r="H37" s="7" t="s">
        <v>47</v>
      </c>
      <c r="I37" s="7" t="s">
        <v>47</v>
      </c>
      <c r="J37" s="7" t="s">
        <v>74</v>
      </c>
      <c r="K37" s="7">
        <v>300</v>
      </c>
      <c r="L37" s="7" t="s">
        <v>47</v>
      </c>
      <c r="M37" s="7" t="s">
        <v>74</v>
      </c>
      <c r="N37" s="7" t="s">
        <v>74</v>
      </c>
      <c r="O37" s="7" t="s">
        <v>74</v>
      </c>
      <c r="P37" s="7" t="s">
        <v>55</v>
      </c>
      <c r="Q37" s="7" t="s">
        <v>50</v>
      </c>
      <c r="R37" s="7" t="s">
        <v>53</v>
      </c>
      <c r="S37" s="7" t="s">
        <v>72</v>
      </c>
      <c r="T37" s="7" t="s">
        <v>47</v>
      </c>
      <c r="U37" s="7" t="s">
        <v>362</v>
      </c>
      <c r="V37" s="5" t="s">
        <v>376</v>
      </c>
      <c r="W37" s="303">
        <f>'Wang data'!E6</f>
        <v>11.88</v>
      </c>
      <c r="X37" s="79"/>
      <c r="Y37" s="79"/>
      <c r="Z37" s="6"/>
      <c r="AA37" s="6"/>
      <c r="AB37" s="6"/>
      <c r="AC37" s="6"/>
      <c r="AD37" s="6"/>
      <c r="AE37" s="6"/>
      <c r="AF37" s="6"/>
      <c r="AG37" s="6"/>
    </row>
    <row r="38" spans="1:33" s="34" customFormat="1" ht="47.25" x14ac:dyDescent="0.25">
      <c r="A38" s="6"/>
      <c r="B38" s="6" t="s">
        <v>372</v>
      </c>
      <c r="C38" s="21" t="s">
        <v>373</v>
      </c>
      <c r="D38" s="7">
        <v>2014</v>
      </c>
      <c r="E38" s="353" t="s">
        <v>374</v>
      </c>
      <c r="F38" s="91" t="s">
        <v>45</v>
      </c>
      <c r="G38" s="7" t="s">
        <v>375</v>
      </c>
      <c r="H38" s="7" t="s">
        <v>47</v>
      </c>
      <c r="I38" s="7" t="s">
        <v>47</v>
      </c>
      <c r="J38" s="7" t="s">
        <v>74</v>
      </c>
      <c r="K38" s="7">
        <v>300</v>
      </c>
      <c r="L38" s="7" t="s">
        <v>47</v>
      </c>
      <c r="M38" s="7" t="s">
        <v>74</v>
      </c>
      <c r="N38" s="7" t="s">
        <v>74</v>
      </c>
      <c r="O38" s="7" t="s">
        <v>74</v>
      </c>
      <c r="P38" s="7" t="s">
        <v>55</v>
      </c>
      <c r="Q38" s="7" t="s">
        <v>50</v>
      </c>
      <c r="R38" s="7" t="s">
        <v>53</v>
      </c>
      <c r="S38" s="7" t="s">
        <v>72</v>
      </c>
      <c r="T38" s="7" t="s">
        <v>47</v>
      </c>
      <c r="U38" s="7" t="s">
        <v>362</v>
      </c>
      <c r="V38" s="5" t="s">
        <v>377</v>
      </c>
      <c r="W38" s="303">
        <f>'Wang data'!E7</f>
        <v>12.445714285714285</v>
      </c>
      <c r="X38" s="79"/>
      <c r="Y38" s="79"/>
      <c r="Z38" s="6"/>
      <c r="AA38" s="6"/>
      <c r="AB38" s="6"/>
      <c r="AC38" s="6"/>
      <c r="AD38" s="6"/>
      <c r="AE38" s="6"/>
      <c r="AF38" s="6"/>
      <c r="AG38" s="6"/>
    </row>
    <row r="39" spans="1:33" s="34" customFormat="1" ht="47.25" x14ac:dyDescent="0.25">
      <c r="A39" s="6"/>
      <c r="B39" s="6" t="s">
        <v>372</v>
      </c>
      <c r="C39" s="21" t="s">
        <v>373</v>
      </c>
      <c r="D39" s="7">
        <v>2014</v>
      </c>
      <c r="E39" s="353" t="s">
        <v>374</v>
      </c>
      <c r="F39" s="91" t="s">
        <v>45</v>
      </c>
      <c r="G39" s="7" t="s">
        <v>375</v>
      </c>
      <c r="H39" s="7" t="s">
        <v>47</v>
      </c>
      <c r="I39" s="7" t="s">
        <v>47</v>
      </c>
      <c r="J39" s="7" t="s">
        <v>74</v>
      </c>
      <c r="K39" s="7">
        <v>300</v>
      </c>
      <c r="L39" s="7" t="s">
        <v>47</v>
      </c>
      <c r="M39" s="7" t="s">
        <v>74</v>
      </c>
      <c r="N39" s="7" t="s">
        <v>74</v>
      </c>
      <c r="O39" s="7" t="s">
        <v>74</v>
      </c>
      <c r="P39" s="7" t="s">
        <v>55</v>
      </c>
      <c r="Q39" s="7" t="s">
        <v>50</v>
      </c>
      <c r="R39" s="7" t="s">
        <v>53</v>
      </c>
      <c r="S39" s="7" t="s">
        <v>72</v>
      </c>
      <c r="T39" s="7" t="s">
        <v>47</v>
      </c>
      <c r="U39" s="7" t="s">
        <v>362</v>
      </c>
      <c r="V39" s="5" t="s">
        <v>378</v>
      </c>
      <c r="W39" s="303">
        <f>'Wang data'!E8</f>
        <v>15.222857142857144</v>
      </c>
      <c r="X39" s="79"/>
      <c r="Y39" s="79"/>
      <c r="Z39" s="6"/>
      <c r="AA39" s="6"/>
      <c r="AB39" s="6"/>
      <c r="AC39" s="6"/>
      <c r="AD39" s="6"/>
      <c r="AE39" s="6"/>
      <c r="AF39" s="6"/>
      <c r="AG39" s="6"/>
    </row>
    <row r="40" spans="1:33" s="34" customFormat="1" ht="63" x14ac:dyDescent="0.25">
      <c r="A40" s="6"/>
      <c r="B40" s="6" t="s">
        <v>145</v>
      </c>
      <c r="C40" s="21" t="s">
        <v>146</v>
      </c>
      <c r="D40" s="7">
        <v>2014</v>
      </c>
      <c r="E40" s="353" t="s">
        <v>147</v>
      </c>
      <c r="F40" s="91" t="s">
        <v>45</v>
      </c>
      <c r="G40" s="7" t="s">
        <v>74</v>
      </c>
      <c r="H40" s="7" t="s">
        <v>74</v>
      </c>
      <c r="I40" s="7" t="s">
        <v>81</v>
      </c>
      <c r="J40" s="7" t="s">
        <v>74</v>
      </c>
      <c r="K40" s="7" t="s">
        <v>74</v>
      </c>
      <c r="L40" s="7" t="s">
        <v>74</v>
      </c>
      <c r="M40" s="7" t="s">
        <v>74</v>
      </c>
      <c r="N40" s="7" t="s">
        <v>47</v>
      </c>
      <c r="O40" s="7" t="s">
        <v>107</v>
      </c>
      <c r="P40" s="7" t="s">
        <v>118</v>
      </c>
      <c r="Q40" s="7" t="s">
        <v>61</v>
      </c>
      <c r="R40" s="7" t="s">
        <v>53</v>
      </c>
      <c r="S40" s="7" t="s">
        <v>72</v>
      </c>
      <c r="T40" s="7" t="s">
        <v>53</v>
      </c>
      <c r="U40" s="7" t="s">
        <v>53</v>
      </c>
      <c r="V40" s="5" t="s">
        <v>379</v>
      </c>
      <c r="W40" s="303">
        <f>'Teehan data'!H30</f>
        <v>30.2</v>
      </c>
      <c r="X40" s="79"/>
      <c r="Y40" s="79"/>
      <c r="Z40" s="6"/>
      <c r="AA40" s="6"/>
      <c r="AB40" s="6"/>
      <c r="AC40" s="6"/>
      <c r="AD40" s="6"/>
      <c r="AE40" s="6"/>
      <c r="AF40" s="6"/>
      <c r="AG40" s="6"/>
    </row>
    <row r="41" spans="1:33" s="34" customFormat="1" ht="63" x14ac:dyDescent="0.25">
      <c r="A41" s="6"/>
      <c r="B41" s="6" t="s">
        <v>145</v>
      </c>
      <c r="C41" s="21" t="s">
        <v>146</v>
      </c>
      <c r="D41" s="7">
        <v>2014</v>
      </c>
      <c r="E41" s="353" t="s">
        <v>147</v>
      </c>
      <c r="F41" s="91" t="s">
        <v>45</v>
      </c>
      <c r="G41" s="7" t="s">
        <v>74</v>
      </c>
      <c r="H41" s="7" t="s">
        <v>74</v>
      </c>
      <c r="I41" s="7" t="s">
        <v>81</v>
      </c>
      <c r="J41" s="7" t="s">
        <v>74</v>
      </c>
      <c r="K41" s="7" t="s">
        <v>74</v>
      </c>
      <c r="L41" s="7" t="s">
        <v>74</v>
      </c>
      <c r="M41" s="7" t="s">
        <v>74</v>
      </c>
      <c r="N41" s="7" t="s">
        <v>47</v>
      </c>
      <c r="O41" s="7" t="s">
        <v>107</v>
      </c>
      <c r="P41" s="7" t="s">
        <v>118</v>
      </c>
      <c r="Q41" s="7" t="s">
        <v>61</v>
      </c>
      <c r="R41" s="7" t="s">
        <v>53</v>
      </c>
      <c r="S41" s="7" t="s">
        <v>72</v>
      </c>
      <c r="T41" s="7" t="s">
        <v>53</v>
      </c>
      <c r="U41" s="7" t="s">
        <v>53</v>
      </c>
      <c r="V41" s="5" t="s">
        <v>150</v>
      </c>
      <c r="W41" s="303">
        <f>'Teehan data'!H33</f>
        <v>21</v>
      </c>
      <c r="X41" s="79"/>
      <c r="Y41" s="79"/>
      <c r="Z41" s="6"/>
      <c r="AA41" s="6"/>
      <c r="AB41" s="6"/>
      <c r="AC41" s="6"/>
      <c r="AD41" s="6"/>
      <c r="AE41" s="6"/>
      <c r="AF41" s="6"/>
      <c r="AG41" s="6"/>
    </row>
    <row r="42" spans="1:33" s="34" customFormat="1" ht="63" x14ac:dyDescent="0.25">
      <c r="A42" s="6"/>
      <c r="B42" s="6" t="s">
        <v>145</v>
      </c>
      <c r="C42" s="21" t="s">
        <v>146</v>
      </c>
      <c r="D42" s="7">
        <v>2014</v>
      </c>
      <c r="E42" s="353" t="s">
        <v>147</v>
      </c>
      <c r="F42" s="91" t="s">
        <v>45</v>
      </c>
      <c r="G42" s="7" t="s">
        <v>74</v>
      </c>
      <c r="H42" s="7" t="s">
        <v>74</v>
      </c>
      <c r="I42" s="7" t="s">
        <v>81</v>
      </c>
      <c r="J42" s="7" t="s">
        <v>74</v>
      </c>
      <c r="K42" s="7" t="s">
        <v>74</v>
      </c>
      <c r="L42" s="7" t="s">
        <v>74</v>
      </c>
      <c r="M42" s="7" t="s">
        <v>74</v>
      </c>
      <c r="N42" s="7" t="s">
        <v>47</v>
      </c>
      <c r="O42" s="7" t="s">
        <v>107</v>
      </c>
      <c r="P42" s="7" t="s">
        <v>118</v>
      </c>
      <c r="Q42" s="7" t="s">
        <v>61</v>
      </c>
      <c r="R42" s="7" t="s">
        <v>53</v>
      </c>
      <c r="S42" s="7" t="s">
        <v>72</v>
      </c>
      <c r="T42" s="7" t="s">
        <v>53</v>
      </c>
      <c r="U42" s="7" t="s">
        <v>53</v>
      </c>
      <c r="V42" s="5" t="s">
        <v>380</v>
      </c>
      <c r="W42" s="303">
        <f>'Teehan data'!H34</f>
        <v>31</v>
      </c>
      <c r="X42" s="79"/>
      <c r="Y42" s="79"/>
      <c r="Z42" s="6"/>
      <c r="AA42" s="6"/>
      <c r="AB42" s="6"/>
      <c r="AC42" s="6"/>
      <c r="AD42" s="6"/>
      <c r="AE42" s="6"/>
      <c r="AF42" s="6"/>
      <c r="AG42" s="6"/>
    </row>
    <row r="43" spans="1:33" s="34" customFormat="1" ht="63" x14ac:dyDescent="0.25">
      <c r="A43" s="6"/>
      <c r="B43" s="6" t="s">
        <v>145</v>
      </c>
      <c r="C43" s="21" t="s">
        <v>146</v>
      </c>
      <c r="D43" s="7">
        <v>2014</v>
      </c>
      <c r="E43" s="353" t="s">
        <v>147</v>
      </c>
      <c r="F43" s="91" t="s">
        <v>45</v>
      </c>
      <c r="G43" s="7" t="s">
        <v>74</v>
      </c>
      <c r="H43" s="7" t="s">
        <v>74</v>
      </c>
      <c r="I43" s="7" t="s">
        <v>81</v>
      </c>
      <c r="J43" s="7" t="s">
        <v>74</v>
      </c>
      <c r="K43" s="7" t="s">
        <v>74</v>
      </c>
      <c r="L43" s="7" t="s">
        <v>74</v>
      </c>
      <c r="M43" s="7" t="s">
        <v>74</v>
      </c>
      <c r="N43" s="7" t="s">
        <v>47</v>
      </c>
      <c r="O43" s="7" t="s">
        <v>107</v>
      </c>
      <c r="P43" s="7" t="s">
        <v>118</v>
      </c>
      <c r="Q43" s="7" t="s">
        <v>61</v>
      </c>
      <c r="R43" s="7" t="s">
        <v>53</v>
      </c>
      <c r="S43" s="7" t="s">
        <v>72</v>
      </c>
      <c r="T43" s="7" t="s">
        <v>53</v>
      </c>
      <c r="U43" s="7" t="s">
        <v>53</v>
      </c>
      <c r="V43" s="5" t="s">
        <v>381</v>
      </c>
      <c r="W43" s="303">
        <f>'Teehan data'!H35</f>
        <v>33</v>
      </c>
      <c r="X43" s="79"/>
      <c r="Y43" s="79"/>
      <c r="Z43" s="6"/>
      <c r="AA43" s="6"/>
      <c r="AB43" s="6"/>
      <c r="AC43" s="6"/>
      <c r="AD43" s="6"/>
      <c r="AE43" s="6"/>
      <c r="AF43" s="6"/>
      <c r="AG43" s="6"/>
    </row>
    <row r="44" spans="1:33" s="34" customFormat="1" ht="63" x14ac:dyDescent="0.25">
      <c r="A44" s="6"/>
      <c r="B44" s="6" t="s">
        <v>145</v>
      </c>
      <c r="C44" s="21" t="s">
        <v>146</v>
      </c>
      <c r="D44" s="7">
        <v>2014</v>
      </c>
      <c r="E44" s="353" t="s">
        <v>147</v>
      </c>
      <c r="F44" s="91" t="s">
        <v>45</v>
      </c>
      <c r="G44" s="7" t="s">
        <v>74</v>
      </c>
      <c r="H44" s="7" t="s">
        <v>74</v>
      </c>
      <c r="I44" s="7" t="s">
        <v>81</v>
      </c>
      <c r="J44" s="7" t="s">
        <v>74</v>
      </c>
      <c r="K44" s="7" t="s">
        <v>74</v>
      </c>
      <c r="L44" s="7" t="s">
        <v>74</v>
      </c>
      <c r="M44" s="7" t="s">
        <v>74</v>
      </c>
      <c r="N44" s="7" t="s">
        <v>47</v>
      </c>
      <c r="O44" s="7" t="s">
        <v>107</v>
      </c>
      <c r="P44" s="7" t="s">
        <v>118</v>
      </c>
      <c r="Q44" s="7" t="s">
        <v>61</v>
      </c>
      <c r="R44" s="7" t="s">
        <v>53</v>
      </c>
      <c r="S44" s="7" t="s">
        <v>72</v>
      </c>
      <c r="T44" s="7" t="s">
        <v>53</v>
      </c>
      <c r="U44" s="7" t="s">
        <v>53</v>
      </c>
      <c r="V44" s="5" t="s">
        <v>151</v>
      </c>
      <c r="W44" s="303">
        <f>'Teehan data'!H36</f>
        <v>81</v>
      </c>
      <c r="X44" s="79"/>
      <c r="Y44" s="79"/>
      <c r="Z44" s="6"/>
      <c r="AA44" s="6"/>
      <c r="AB44" s="6"/>
      <c r="AC44" s="6"/>
      <c r="AD44" s="6"/>
      <c r="AE44" s="6"/>
      <c r="AF44" s="6"/>
      <c r="AG44" s="6"/>
    </row>
    <row r="45" spans="1:33" s="34" customFormat="1" ht="78.75" x14ac:dyDescent="0.25">
      <c r="A45" s="2"/>
      <c r="B45" s="2" t="s">
        <v>135</v>
      </c>
      <c r="C45" s="21" t="s">
        <v>136</v>
      </c>
      <c r="D45" s="3">
        <v>2013</v>
      </c>
      <c r="E45" s="81" t="s">
        <v>137</v>
      </c>
      <c r="F45" s="91" t="s">
        <v>45</v>
      </c>
      <c r="G45" s="3" t="s">
        <v>101</v>
      </c>
      <c r="H45" s="3" t="s">
        <v>74</v>
      </c>
      <c r="I45" s="3" t="s">
        <v>74</v>
      </c>
      <c r="J45" s="3" t="str">
        <f>'Jones data'!D6</f>
        <v>NA</v>
      </c>
      <c r="K45" s="3" t="s">
        <v>74</v>
      </c>
      <c r="L45" s="3" t="s">
        <v>74</v>
      </c>
      <c r="M45" s="3" t="s">
        <v>74</v>
      </c>
      <c r="N45" s="3" t="s">
        <v>74</v>
      </c>
      <c r="O45" s="3" t="s">
        <v>74</v>
      </c>
      <c r="P45" s="3" t="s">
        <v>118</v>
      </c>
      <c r="Q45" s="3" t="s">
        <v>56</v>
      </c>
      <c r="R45" s="3" t="s">
        <v>113</v>
      </c>
      <c r="S45" s="3" t="s">
        <v>72</v>
      </c>
      <c r="T45" s="3" t="s">
        <v>53</v>
      </c>
      <c r="U45" s="3" t="s">
        <v>47</v>
      </c>
      <c r="V45" s="4" t="s">
        <v>138</v>
      </c>
      <c r="W45" s="302">
        <f>'Jones data'!E6</f>
        <v>55.7</v>
      </c>
      <c r="X45" s="78"/>
      <c r="Y45" s="78"/>
      <c r="Z45" s="2"/>
      <c r="AA45" s="2"/>
      <c r="AB45" s="2"/>
      <c r="AC45" s="2"/>
      <c r="AD45" s="2"/>
      <c r="AE45" s="2"/>
      <c r="AF45" s="2"/>
      <c r="AG45" s="2"/>
    </row>
    <row r="46" spans="1:33" s="34" customFormat="1" ht="78.75" x14ac:dyDescent="0.25">
      <c r="A46" s="2"/>
      <c r="B46" s="2" t="s">
        <v>135</v>
      </c>
      <c r="C46" s="21" t="s">
        <v>136</v>
      </c>
      <c r="D46" s="3">
        <v>2013</v>
      </c>
      <c r="E46" s="81" t="s">
        <v>137</v>
      </c>
      <c r="F46" s="91" t="s">
        <v>45</v>
      </c>
      <c r="G46" s="3" t="s">
        <v>101</v>
      </c>
      <c r="H46" s="3" t="s">
        <v>74</v>
      </c>
      <c r="I46" s="3" t="s">
        <v>74</v>
      </c>
      <c r="J46" s="3" t="str">
        <f>'Jones data'!D7</f>
        <v>NA</v>
      </c>
      <c r="K46" s="3" t="s">
        <v>74</v>
      </c>
      <c r="L46" s="3" t="s">
        <v>74</v>
      </c>
      <c r="M46" s="3" t="s">
        <v>74</v>
      </c>
      <c r="N46" s="3" t="s">
        <v>74</v>
      </c>
      <c r="O46" s="3" t="s">
        <v>74</v>
      </c>
      <c r="P46" s="3" t="s">
        <v>118</v>
      </c>
      <c r="Q46" s="3" t="s">
        <v>56</v>
      </c>
      <c r="R46" s="3" t="s">
        <v>113</v>
      </c>
      <c r="S46" s="3" t="s">
        <v>72</v>
      </c>
      <c r="T46" s="3" t="s">
        <v>53</v>
      </c>
      <c r="U46" s="3" t="s">
        <v>47</v>
      </c>
      <c r="V46" s="4" t="s">
        <v>138</v>
      </c>
      <c r="W46" s="302">
        <f>'Jones data'!E7</f>
        <v>79.599999999999994</v>
      </c>
      <c r="X46" s="79"/>
      <c r="Y46" s="79"/>
      <c r="Z46" s="6"/>
      <c r="AA46" s="6"/>
      <c r="AB46" s="6"/>
      <c r="AC46" s="6"/>
      <c r="AD46" s="6"/>
      <c r="AE46" s="6"/>
      <c r="AF46" s="6"/>
      <c r="AG46" s="6"/>
    </row>
    <row r="47" spans="1:33" s="34" customFormat="1" ht="78.75" x14ac:dyDescent="0.25">
      <c r="A47" s="2"/>
      <c r="B47" s="2" t="s">
        <v>135</v>
      </c>
      <c r="C47" s="21" t="s">
        <v>136</v>
      </c>
      <c r="D47" s="3">
        <v>2013</v>
      </c>
      <c r="E47" s="81" t="s">
        <v>137</v>
      </c>
      <c r="F47" s="91" t="s">
        <v>45</v>
      </c>
      <c r="G47" s="3" t="s">
        <v>101</v>
      </c>
      <c r="H47" s="3" t="s">
        <v>74</v>
      </c>
      <c r="I47" s="3" t="s">
        <v>74</v>
      </c>
      <c r="J47" s="3">
        <f>'Jones data'!D8</f>
        <v>350</v>
      </c>
      <c r="K47" s="3" t="s">
        <v>74</v>
      </c>
      <c r="L47" s="3" t="s">
        <v>74</v>
      </c>
      <c r="M47" s="3" t="s">
        <v>74</v>
      </c>
      <c r="N47" s="3" t="s">
        <v>74</v>
      </c>
      <c r="O47" s="3" t="s">
        <v>74</v>
      </c>
      <c r="P47" s="3" t="s">
        <v>118</v>
      </c>
      <c r="Q47" s="3" t="s">
        <v>56</v>
      </c>
      <c r="R47" s="3" t="s">
        <v>113</v>
      </c>
      <c r="S47" s="3" t="s">
        <v>72</v>
      </c>
      <c r="T47" s="3" t="s">
        <v>53</v>
      </c>
      <c r="U47" s="3" t="s">
        <v>47</v>
      </c>
      <c r="V47" s="4" t="s">
        <v>138</v>
      </c>
      <c r="W47" s="302">
        <f>'Jones data'!E8</f>
        <v>94</v>
      </c>
      <c r="X47" s="79"/>
      <c r="Y47" s="79"/>
      <c r="Z47" s="6"/>
      <c r="AA47" s="6"/>
      <c r="AB47" s="6"/>
      <c r="AC47" s="6"/>
      <c r="AD47" s="6"/>
      <c r="AE47" s="6"/>
      <c r="AF47" s="6"/>
      <c r="AG47" s="6"/>
    </row>
    <row r="48" spans="1:33" s="34" customFormat="1" ht="78.75" x14ac:dyDescent="0.25">
      <c r="A48" s="2"/>
      <c r="B48" s="2" t="s">
        <v>135</v>
      </c>
      <c r="C48" s="21" t="s">
        <v>136</v>
      </c>
      <c r="D48" s="3">
        <v>2013</v>
      </c>
      <c r="E48" s="81" t="s">
        <v>137</v>
      </c>
      <c r="F48" s="91" t="s">
        <v>45</v>
      </c>
      <c r="G48" s="3" t="s">
        <v>101</v>
      </c>
      <c r="H48" s="3" t="s">
        <v>74</v>
      </c>
      <c r="I48" s="3" t="s">
        <v>74</v>
      </c>
      <c r="J48" s="3">
        <f>'Jones data'!D9</f>
        <v>250</v>
      </c>
      <c r="K48" s="3" t="s">
        <v>74</v>
      </c>
      <c r="L48" s="3" t="s">
        <v>74</v>
      </c>
      <c r="M48" s="3" t="s">
        <v>74</v>
      </c>
      <c r="N48" s="3" t="s">
        <v>74</v>
      </c>
      <c r="O48" s="3" t="s">
        <v>74</v>
      </c>
      <c r="P48" s="3" t="s">
        <v>118</v>
      </c>
      <c r="Q48" s="3" t="s">
        <v>56</v>
      </c>
      <c r="R48" s="3" t="s">
        <v>113</v>
      </c>
      <c r="S48" s="3" t="s">
        <v>72</v>
      </c>
      <c r="T48" s="3" t="s">
        <v>53</v>
      </c>
      <c r="U48" s="3" t="s">
        <v>47</v>
      </c>
      <c r="V48" s="4" t="s">
        <v>138</v>
      </c>
      <c r="W48" s="302">
        <f>'Jones data'!E9</f>
        <v>75</v>
      </c>
      <c r="X48" s="79"/>
      <c r="Y48" s="79"/>
      <c r="Z48" s="6"/>
      <c r="AA48" s="6"/>
      <c r="AB48" s="6"/>
      <c r="AC48" s="6"/>
      <c r="AD48" s="6"/>
      <c r="AE48" s="6"/>
      <c r="AF48" s="6"/>
      <c r="AG48" s="6"/>
    </row>
    <row r="49" spans="1:33" s="34" customFormat="1" ht="78.75" x14ac:dyDescent="0.25">
      <c r="A49" s="2"/>
      <c r="B49" s="2" t="s">
        <v>135</v>
      </c>
      <c r="C49" s="21" t="s">
        <v>136</v>
      </c>
      <c r="D49" s="3">
        <v>2013</v>
      </c>
      <c r="E49" s="81" t="s">
        <v>137</v>
      </c>
      <c r="F49" s="91" t="s">
        <v>45</v>
      </c>
      <c r="G49" s="3" t="s">
        <v>101</v>
      </c>
      <c r="H49" s="3" t="s">
        <v>74</v>
      </c>
      <c r="I49" s="3" t="s">
        <v>74</v>
      </c>
      <c r="J49" s="3">
        <f>'Jones data'!D10</f>
        <v>180</v>
      </c>
      <c r="K49" s="3" t="s">
        <v>74</v>
      </c>
      <c r="L49" s="3" t="s">
        <v>74</v>
      </c>
      <c r="M49" s="3" t="s">
        <v>74</v>
      </c>
      <c r="N49" s="3" t="s">
        <v>74</v>
      </c>
      <c r="O49" s="3" t="s">
        <v>74</v>
      </c>
      <c r="P49" s="3" t="s">
        <v>118</v>
      </c>
      <c r="Q49" s="3" t="s">
        <v>56</v>
      </c>
      <c r="R49" s="3" t="s">
        <v>113</v>
      </c>
      <c r="S49" s="3" t="s">
        <v>72</v>
      </c>
      <c r="T49" s="3" t="s">
        <v>53</v>
      </c>
      <c r="U49" s="3" t="s">
        <v>47</v>
      </c>
      <c r="V49" s="4" t="s">
        <v>138</v>
      </c>
      <c r="W49" s="302">
        <f>'Jones data'!E10</f>
        <v>71</v>
      </c>
      <c r="X49" s="79"/>
      <c r="Y49" s="79"/>
      <c r="Z49" s="6"/>
      <c r="AA49" s="6"/>
      <c r="AB49" s="6"/>
      <c r="AC49" s="6"/>
      <c r="AD49" s="6"/>
      <c r="AE49" s="6"/>
      <c r="AF49" s="6"/>
      <c r="AG49" s="6"/>
    </row>
    <row r="50" spans="1:33" s="34" customFormat="1" ht="78.75" x14ac:dyDescent="0.25">
      <c r="A50" s="2"/>
      <c r="B50" s="2" t="s">
        <v>135</v>
      </c>
      <c r="C50" s="21" t="s">
        <v>136</v>
      </c>
      <c r="D50" s="3">
        <v>2013</v>
      </c>
      <c r="E50" s="81" t="s">
        <v>137</v>
      </c>
      <c r="F50" s="91" t="s">
        <v>45</v>
      </c>
      <c r="G50" s="3" t="s">
        <v>101</v>
      </c>
      <c r="H50" s="3" t="s">
        <v>74</v>
      </c>
      <c r="I50" s="3" t="s">
        <v>74</v>
      </c>
      <c r="J50" s="3">
        <f>'Jones data'!D11</f>
        <v>130</v>
      </c>
      <c r="K50" s="3" t="s">
        <v>74</v>
      </c>
      <c r="L50" s="3" t="s">
        <v>74</v>
      </c>
      <c r="M50" s="3" t="s">
        <v>74</v>
      </c>
      <c r="N50" s="3" t="s">
        <v>74</v>
      </c>
      <c r="O50" s="3" t="s">
        <v>74</v>
      </c>
      <c r="P50" s="3" t="s">
        <v>118</v>
      </c>
      <c r="Q50" s="3" t="s">
        <v>56</v>
      </c>
      <c r="R50" s="3" t="s">
        <v>113</v>
      </c>
      <c r="S50" s="3" t="s">
        <v>72</v>
      </c>
      <c r="T50" s="3" t="s">
        <v>53</v>
      </c>
      <c r="U50" s="3" t="s">
        <v>47</v>
      </c>
      <c r="V50" s="4" t="s">
        <v>138</v>
      </c>
      <c r="W50" s="302">
        <f>'Jones data'!E11</f>
        <v>56</v>
      </c>
      <c r="X50" s="79"/>
      <c r="Y50" s="79"/>
      <c r="Z50" s="6"/>
      <c r="AA50" s="6"/>
      <c r="AB50" s="6"/>
      <c r="AC50" s="6"/>
      <c r="AD50" s="6"/>
      <c r="AE50" s="6"/>
      <c r="AF50" s="6"/>
      <c r="AG50" s="6"/>
    </row>
    <row r="51" spans="1:33" s="34" customFormat="1" ht="78.75" x14ac:dyDescent="0.25">
      <c r="A51" s="2"/>
      <c r="B51" s="2" t="s">
        <v>135</v>
      </c>
      <c r="C51" s="21" t="s">
        <v>136</v>
      </c>
      <c r="D51" s="3">
        <v>2013</v>
      </c>
      <c r="E51" s="81" t="s">
        <v>137</v>
      </c>
      <c r="F51" s="91" t="s">
        <v>45</v>
      </c>
      <c r="G51" s="3" t="s">
        <v>101</v>
      </c>
      <c r="H51" s="3" t="s">
        <v>74</v>
      </c>
      <c r="I51" s="3" t="s">
        <v>74</v>
      </c>
      <c r="J51" s="3">
        <f>'Jones data'!D12</f>
        <v>90</v>
      </c>
      <c r="K51" s="3" t="s">
        <v>74</v>
      </c>
      <c r="L51" s="3" t="s">
        <v>74</v>
      </c>
      <c r="M51" s="3" t="s">
        <v>74</v>
      </c>
      <c r="N51" s="3" t="s">
        <v>74</v>
      </c>
      <c r="O51" s="3" t="s">
        <v>74</v>
      </c>
      <c r="P51" s="3" t="s">
        <v>118</v>
      </c>
      <c r="Q51" s="3" t="s">
        <v>56</v>
      </c>
      <c r="R51" s="3" t="s">
        <v>113</v>
      </c>
      <c r="S51" s="3" t="s">
        <v>72</v>
      </c>
      <c r="T51" s="3" t="s">
        <v>53</v>
      </c>
      <c r="U51" s="3" t="s">
        <v>47</v>
      </c>
      <c r="V51" s="4" t="s">
        <v>138</v>
      </c>
      <c r="W51" s="302">
        <f>'Jones data'!E12</f>
        <v>57</v>
      </c>
      <c r="X51" s="79"/>
      <c r="Y51" s="79"/>
      <c r="Z51" s="6"/>
      <c r="AA51" s="6"/>
      <c r="AB51" s="6"/>
      <c r="AC51" s="6"/>
      <c r="AD51" s="6"/>
      <c r="AE51" s="6"/>
      <c r="AF51" s="6"/>
      <c r="AG51" s="6"/>
    </row>
    <row r="52" spans="1:33" s="34" customFormat="1" ht="78.75" x14ac:dyDescent="0.25">
      <c r="A52" s="2"/>
      <c r="B52" s="2" t="s">
        <v>135</v>
      </c>
      <c r="C52" s="21" t="s">
        <v>136</v>
      </c>
      <c r="D52" s="3">
        <v>2013</v>
      </c>
      <c r="E52" s="81" t="s">
        <v>137</v>
      </c>
      <c r="F52" s="91" t="s">
        <v>45</v>
      </c>
      <c r="G52" s="3" t="s">
        <v>101</v>
      </c>
      <c r="H52" s="3" t="s">
        <v>74</v>
      </c>
      <c r="I52" s="3" t="s">
        <v>74</v>
      </c>
      <c r="J52" s="3">
        <f>'Jones data'!D13</f>
        <v>65</v>
      </c>
      <c r="K52" s="3" t="s">
        <v>74</v>
      </c>
      <c r="L52" s="3" t="s">
        <v>74</v>
      </c>
      <c r="M52" s="3" t="s">
        <v>74</v>
      </c>
      <c r="N52" s="3" t="s">
        <v>74</v>
      </c>
      <c r="O52" s="3" t="s">
        <v>74</v>
      </c>
      <c r="P52" s="3" t="s">
        <v>118</v>
      </c>
      <c r="Q52" s="3" t="s">
        <v>56</v>
      </c>
      <c r="R52" s="3" t="s">
        <v>113</v>
      </c>
      <c r="S52" s="3" t="s">
        <v>72</v>
      </c>
      <c r="T52" s="3" t="s">
        <v>53</v>
      </c>
      <c r="U52" s="3" t="s">
        <v>47</v>
      </c>
      <c r="V52" s="4" t="s">
        <v>138</v>
      </c>
      <c r="W52" s="302">
        <f>'Jones data'!E13</f>
        <v>64</v>
      </c>
      <c r="X52" s="79"/>
      <c r="Y52" s="79"/>
      <c r="Z52" s="6"/>
      <c r="AA52" s="6"/>
      <c r="AB52" s="6"/>
      <c r="AC52" s="6"/>
      <c r="AD52" s="6"/>
      <c r="AE52" s="6"/>
      <c r="AF52" s="6"/>
      <c r="AG52" s="6"/>
    </row>
    <row r="53" spans="1:33" s="34" customFormat="1" ht="78.75" x14ac:dyDescent="0.25">
      <c r="A53" s="2"/>
      <c r="B53" s="2" t="s">
        <v>135</v>
      </c>
      <c r="C53" s="21" t="s">
        <v>136</v>
      </c>
      <c r="D53" s="3">
        <v>2013</v>
      </c>
      <c r="E53" s="81" t="s">
        <v>137</v>
      </c>
      <c r="F53" s="91" t="s">
        <v>45</v>
      </c>
      <c r="G53" s="3" t="s">
        <v>101</v>
      </c>
      <c r="H53" s="3" t="s">
        <v>74</v>
      </c>
      <c r="I53" s="3" t="s">
        <v>74</v>
      </c>
      <c r="J53" s="3">
        <f>'Jones data'!D14</f>
        <v>45</v>
      </c>
      <c r="K53" s="3" t="s">
        <v>74</v>
      </c>
      <c r="L53" s="3" t="s">
        <v>74</v>
      </c>
      <c r="M53" s="3" t="s">
        <v>74</v>
      </c>
      <c r="N53" s="3" t="s">
        <v>74</v>
      </c>
      <c r="O53" s="3" t="s">
        <v>74</v>
      </c>
      <c r="P53" s="3" t="s">
        <v>118</v>
      </c>
      <c r="Q53" s="3" t="s">
        <v>56</v>
      </c>
      <c r="R53" s="3" t="s">
        <v>113</v>
      </c>
      <c r="S53" s="3" t="s">
        <v>72</v>
      </c>
      <c r="T53" s="3" t="s">
        <v>53</v>
      </c>
      <c r="U53" s="3" t="s">
        <v>47</v>
      </c>
      <c r="V53" s="4" t="s">
        <v>138</v>
      </c>
      <c r="W53" s="302">
        <f>'Jones data'!E14</f>
        <v>80</v>
      </c>
      <c r="X53" s="79"/>
      <c r="Y53" s="79"/>
      <c r="Z53" s="6"/>
      <c r="AA53" s="6"/>
      <c r="AB53" s="6"/>
      <c r="AC53" s="6"/>
      <c r="AD53" s="6"/>
      <c r="AE53" s="6"/>
      <c r="AF53" s="6"/>
      <c r="AG53" s="6"/>
    </row>
    <row r="54" spans="1:33" s="34" customFormat="1" ht="78.75" x14ac:dyDescent="0.25">
      <c r="A54" s="2"/>
      <c r="B54" s="2" t="s">
        <v>382</v>
      </c>
      <c r="C54" s="21" t="s">
        <v>383</v>
      </c>
      <c r="D54" s="7">
        <v>2013</v>
      </c>
      <c r="E54" s="81" t="s">
        <v>384</v>
      </c>
      <c r="F54" s="91" t="s">
        <v>45</v>
      </c>
      <c r="G54" s="7" t="s">
        <v>52</v>
      </c>
      <c r="H54" s="7" t="s">
        <v>47</v>
      </c>
      <c r="I54" s="7" t="s">
        <v>73</v>
      </c>
      <c r="J54" s="7">
        <v>45</v>
      </c>
      <c r="K54" s="7">
        <v>300</v>
      </c>
      <c r="L54" s="7" t="s">
        <v>72</v>
      </c>
      <c r="M54" s="7" t="s">
        <v>53</v>
      </c>
      <c r="N54" s="7" t="s">
        <v>53</v>
      </c>
      <c r="O54" s="7"/>
      <c r="P54" s="7" t="s">
        <v>173</v>
      </c>
      <c r="Q54" s="7" t="s">
        <v>74</v>
      </c>
      <c r="R54" s="7" t="s">
        <v>53</v>
      </c>
      <c r="S54" s="7" t="s">
        <v>77</v>
      </c>
      <c r="T54" s="7" t="s">
        <v>74</v>
      </c>
      <c r="U54" s="7" t="s">
        <v>47</v>
      </c>
      <c r="V54" s="4" t="s">
        <v>385</v>
      </c>
      <c r="W54" s="302">
        <f>'Prakash data'!D12</f>
        <v>17.208000000000002</v>
      </c>
      <c r="AB54" s="2"/>
      <c r="AC54" s="2"/>
      <c r="AD54" s="2"/>
      <c r="AE54" s="2"/>
      <c r="AF54" s="2"/>
      <c r="AG54" s="2"/>
    </row>
    <row r="55" spans="1:33" s="34" customFormat="1" ht="78.75" x14ac:dyDescent="0.25">
      <c r="A55" s="2"/>
      <c r="B55" s="2" t="s">
        <v>84</v>
      </c>
      <c r="C55" s="21" t="s">
        <v>85</v>
      </c>
      <c r="D55" s="3">
        <v>2012</v>
      </c>
      <c r="E55" s="81" t="s">
        <v>97</v>
      </c>
      <c r="F55" s="91" t="s">
        <v>45</v>
      </c>
      <c r="G55" s="3" t="s">
        <v>52</v>
      </c>
      <c r="H55" s="7" t="s">
        <v>47</v>
      </c>
      <c r="I55" s="3" t="s">
        <v>73</v>
      </c>
      <c r="J55" s="3">
        <v>250</v>
      </c>
      <c r="K55" s="3">
        <v>300</v>
      </c>
      <c r="L55" s="3" t="s">
        <v>47</v>
      </c>
      <c r="M55" s="3" t="s">
        <v>47</v>
      </c>
      <c r="N55" s="3" t="s">
        <v>47</v>
      </c>
      <c r="O55" s="7"/>
      <c r="P55" s="3" t="s">
        <v>118</v>
      </c>
      <c r="Q55" s="3" t="s">
        <v>61</v>
      </c>
      <c r="R55" s="3" t="s">
        <v>47</v>
      </c>
      <c r="S55" s="7" t="s">
        <v>77</v>
      </c>
      <c r="T55" s="3" t="s">
        <v>47</v>
      </c>
      <c r="U55" s="3" t="s">
        <v>72</v>
      </c>
      <c r="V55" s="4" t="s">
        <v>386</v>
      </c>
      <c r="W55" s="302">
        <f>'Boyd data'!C61</f>
        <v>35.6</v>
      </c>
      <c r="X55" s="2"/>
      <c r="Y55" s="2"/>
      <c r="Z55" s="2"/>
      <c r="AA55" s="2"/>
      <c r="AB55" s="2"/>
      <c r="AC55" s="2"/>
      <c r="AD55" s="2"/>
      <c r="AE55" s="2"/>
      <c r="AF55" s="2"/>
      <c r="AG55" s="2"/>
    </row>
    <row r="56" spans="1:33" s="34" customFormat="1" ht="31.5" x14ac:dyDescent="0.25">
      <c r="A56" s="2"/>
      <c r="B56" s="2" t="s">
        <v>387</v>
      </c>
      <c r="C56" s="21" t="s">
        <v>388</v>
      </c>
      <c r="D56" s="3">
        <v>2020</v>
      </c>
      <c r="E56" s="81" t="s">
        <v>389</v>
      </c>
      <c r="F56" s="91" t="s">
        <v>45</v>
      </c>
      <c r="G56" s="3" t="str">
        <f>'Das data'!D6</f>
        <v>M</v>
      </c>
      <c r="H56" s="3" t="s">
        <v>74</v>
      </c>
      <c r="I56" s="3" t="s">
        <v>74</v>
      </c>
      <c r="J56" s="3">
        <f>'Das data'!C6</f>
        <v>57</v>
      </c>
      <c r="K56" s="3" t="s">
        <v>74</v>
      </c>
      <c r="L56" s="3" t="s">
        <v>74</v>
      </c>
      <c r="M56" s="3" t="s">
        <v>74</v>
      </c>
      <c r="N56" s="3" t="s">
        <v>74</v>
      </c>
      <c r="O56" s="7" t="s">
        <v>74</v>
      </c>
      <c r="P56" s="3" t="s">
        <v>55</v>
      </c>
      <c r="Q56" s="3" t="s">
        <v>56</v>
      </c>
      <c r="R56" s="3" t="s">
        <v>74</v>
      </c>
      <c r="S56" s="3" t="s">
        <v>72</v>
      </c>
      <c r="T56" s="3" t="s">
        <v>74</v>
      </c>
      <c r="U56" s="3" t="s">
        <v>107</v>
      </c>
      <c r="V56" s="4" t="s">
        <v>390</v>
      </c>
      <c r="W56" s="302">
        <f>'Das data'!F6</f>
        <v>21</v>
      </c>
      <c r="X56" s="347"/>
      <c r="Y56" s="347"/>
      <c r="Z56" s="347"/>
      <c r="AA56" s="2"/>
      <c r="AB56" s="2"/>
      <c r="AC56" s="2"/>
      <c r="AD56" s="2"/>
      <c r="AE56" s="2"/>
      <c r="AF56" s="2"/>
      <c r="AG56" s="2"/>
    </row>
    <row r="57" spans="1:33" s="34" customFormat="1" ht="31.5" x14ac:dyDescent="0.25">
      <c r="A57" s="2"/>
      <c r="B57" s="2" t="s">
        <v>387</v>
      </c>
      <c r="C57" s="21" t="s">
        <v>388</v>
      </c>
      <c r="D57" s="3">
        <v>2020</v>
      </c>
      <c r="E57" s="81" t="s">
        <v>389</v>
      </c>
      <c r="F57" s="91" t="s">
        <v>45</v>
      </c>
      <c r="G57" s="3" t="str">
        <f>'Das data'!D7</f>
        <v>M</v>
      </c>
      <c r="H57" s="3" t="s">
        <v>74</v>
      </c>
      <c r="I57" s="3" t="s">
        <v>74</v>
      </c>
      <c r="J57" s="3">
        <f>'Das data'!C7</f>
        <v>57</v>
      </c>
      <c r="K57" s="3" t="s">
        <v>74</v>
      </c>
      <c r="L57" s="3" t="s">
        <v>74</v>
      </c>
      <c r="M57" s="3" t="s">
        <v>74</v>
      </c>
      <c r="N57" s="3" t="s">
        <v>74</v>
      </c>
      <c r="O57" s="7" t="s">
        <v>74</v>
      </c>
      <c r="P57" s="3" t="s">
        <v>55</v>
      </c>
      <c r="Q57" s="3" t="s">
        <v>56</v>
      </c>
      <c r="R57" s="3" t="s">
        <v>74</v>
      </c>
      <c r="S57" s="3" t="s">
        <v>72</v>
      </c>
      <c r="T57" s="3" t="s">
        <v>74</v>
      </c>
      <c r="U57" s="3" t="s">
        <v>107</v>
      </c>
      <c r="V57" s="4" t="s">
        <v>390</v>
      </c>
      <c r="W57" s="302">
        <f>'Das data'!F7</f>
        <v>31</v>
      </c>
      <c r="X57" s="347"/>
      <c r="Y57" s="347"/>
      <c r="Z57" s="347"/>
      <c r="AA57" s="2"/>
      <c r="AB57" s="2"/>
      <c r="AC57" s="2"/>
      <c r="AD57" s="2"/>
      <c r="AE57" s="2"/>
      <c r="AF57" s="2"/>
      <c r="AG57" s="2"/>
    </row>
    <row r="58" spans="1:33" s="34" customFormat="1" ht="31.5" x14ac:dyDescent="0.25">
      <c r="A58" s="2"/>
      <c r="B58" s="2" t="s">
        <v>387</v>
      </c>
      <c r="C58" s="21" t="s">
        <v>388</v>
      </c>
      <c r="D58" s="3">
        <v>2020</v>
      </c>
      <c r="E58" s="81" t="s">
        <v>391</v>
      </c>
      <c r="F58" s="91" t="s">
        <v>45</v>
      </c>
      <c r="G58" s="3" t="str">
        <f>'Das data'!D8</f>
        <v>M</v>
      </c>
      <c r="H58" s="3" t="s">
        <v>74</v>
      </c>
      <c r="I58" s="3" t="s">
        <v>74</v>
      </c>
      <c r="J58" s="3">
        <f>'Das data'!C8</f>
        <v>57</v>
      </c>
      <c r="K58" s="3" t="s">
        <v>74</v>
      </c>
      <c r="L58" s="3" t="s">
        <v>74</v>
      </c>
      <c r="M58" s="3" t="s">
        <v>74</v>
      </c>
      <c r="N58" s="3" t="s">
        <v>74</v>
      </c>
      <c r="O58" s="7" t="s">
        <v>74</v>
      </c>
      <c r="P58" s="3" t="s">
        <v>55</v>
      </c>
      <c r="Q58" s="3" t="s">
        <v>56</v>
      </c>
      <c r="R58" s="3" t="s">
        <v>74</v>
      </c>
      <c r="S58" s="3" t="s">
        <v>72</v>
      </c>
      <c r="T58" s="3" t="s">
        <v>74</v>
      </c>
      <c r="U58" s="3" t="s">
        <v>107</v>
      </c>
      <c r="V58" s="4" t="s">
        <v>390</v>
      </c>
      <c r="W58" s="302">
        <f>'Das data'!F8</f>
        <v>18</v>
      </c>
      <c r="X58" s="347"/>
      <c r="Y58" s="347"/>
      <c r="Z58" s="347"/>
      <c r="AA58" s="2"/>
      <c r="AB58" s="2"/>
      <c r="AC58" s="2"/>
      <c r="AD58" s="2"/>
      <c r="AE58" s="2"/>
      <c r="AF58" s="2"/>
      <c r="AG58" s="2"/>
    </row>
    <row r="59" spans="1:33" s="34" customFormat="1" ht="31.5" x14ac:dyDescent="0.25">
      <c r="A59" s="2"/>
      <c r="B59" s="2" t="s">
        <v>387</v>
      </c>
      <c r="C59" s="21" t="s">
        <v>388</v>
      </c>
      <c r="D59" s="3">
        <v>2020</v>
      </c>
      <c r="E59" s="81" t="s">
        <v>392</v>
      </c>
      <c r="F59" s="91" t="s">
        <v>45</v>
      </c>
      <c r="G59" s="3" t="str">
        <f>'Das data'!D9</f>
        <v>NA</v>
      </c>
      <c r="H59" s="3" t="s">
        <v>74</v>
      </c>
      <c r="I59" s="3" t="s">
        <v>74</v>
      </c>
      <c r="J59" s="3">
        <f>'Das data'!C9</f>
        <v>250</v>
      </c>
      <c r="K59" s="3" t="s">
        <v>74</v>
      </c>
      <c r="L59" s="3" t="s">
        <v>74</v>
      </c>
      <c r="M59" s="3" t="s">
        <v>74</v>
      </c>
      <c r="N59" s="3" t="s">
        <v>74</v>
      </c>
      <c r="O59" s="7" t="s">
        <v>74</v>
      </c>
      <c r="P59" s="3" t="s">
        <v>55</v>
      </c>
      <c r="Q59" s="3" t="s">
        <v>56</v>
      </c>
      <c r="R59" s="3" t="s">
        <v>74</v>
      </c>
      <c r="S59" s="3" t="s">
        <v>72</v>
      </c>
      <c r="T59" s="3" t="s">
        <v>74</v>
      </c>
      <c r="U59" s="3" t="s">
        <v>107</v>
      </c>
      <c r="V59" s="4" t="s">
        <v>390</v>
      </c>
      <c r="W59" s="302">
        <f>'Das data'!F9</f>
        <v>36</v>
      </c>
      <c r="X59" s="347"/>
      <c r="Y59" s="347"/>
      <c r="Z59" s="347"/>
      <c r="AA59" s="2"/>
      <c r="AB59" s="2"/>
      <c r="AC59" s="2"/>
      <c r="AD59" s="2"/>
      <c r="AE59" s="2"/>
      <c r="AF59" s="2"/>
      <c r="AG59" s="2"/>
    </row>
    <row r="60" spans="1:33" s="34" customFormat="1" ht="31.5" x14ac:dyDescent="0.25">
      <c r="A60" s="2"/>
      <c r="B60" s="2" t="s">
        <v>387</v>
      </c>
      <c r="C60" s="21" t="s">
        <v>388</v>
      </c>
      <c r="D60" s="3">
        <v>2020</v>
      </c>
      <c r="E60" s="81" t="s">
        <v>393</v>
      </c>
      <c r="F60" s="91" t="s">
        <v>45</v>
      </c>
      <c r="G60" s="3" t="str">
        <f>'Das data'!D10</f>
        <v>NA</v>
      </c>
      <c r="H60" s="3" t="s">
        <v>74</v>
      </c>
      <c r="I60" s="3" t="s">
        <v>74</v>
      </c>
      <c r="J60" s="3">
        <f>'Das data'!C10</f>
        <v>250</v>
      </c>
      <c r="K60" s="3" t="s">
        <v>74</v>
      </c>
      <c r="L60" s="3" t="s">
        <v>74</v>
      </c>
      <c r="M60" s="3" t="s">
        <v>74</v>
      </c>
      <c r="N60" s="3" t="s">
        <v>74</v>
      </c>
      <c r="O60" s="7" t="s">
        <v>74</v>
      </c>
      <c r="P60" s="3" t="s">
        <v>55</v>
      </c>
      <c r="Q60" s="3" t="s">
        <v>56</v>
      </c>
      <c r="R60" s="3" t="s">
        <v>74</v>
      </c>
      <c r="S60" s="3" t="s">
        <v>72</v>
      </c>
      <c r="T60" s="3" t="s">
        <v>74</v>
      </c>
      <c r="U60" s="3" t="s">
        <v>107</v>
      </c>
      <c r="V60" s="4" t="s">
        <v>390</v>
      </c>
      <c r="W60" s="302">
        <f>'Das data'!F10</f>
        <v>1.9</v>
      </c>
      <c r="X60" s="347"/>
      <c r="Y60" s="347"/>
      <c r="Z60" s="347"/>
      <c r="AA60" s="2"/>
      <c r="AB60" s="2"/>
      <c r="AC60" s="2"/>
      <c r="AD60" s="2"/>
      <c r="AE60" s="2"/>
      <c r="AF60" s="2"/>
      <c r="AG60" s="2"/>
    </row>
    <row r="61" spans="1:33" s="34" customFormat="1" ht="31.5" x14ac:dyDescent="0.25">
      <c r="A61" s="2"/>
      <c r="B61" s="2" t="s">
        <v>387</v>
      </c>
      <c r="C61" s="21" t="s">
        <v>388</v>
      </c>
      <c r="D61" s="3">
        <v>2020</v>
      </c>
      <c r="E61" s="81" t="s">
        <v>394</v>
      </c>
      <c r="F61" s="91" t="s">
        <v>45</v>
      </c>
      <c r="G61" s="3" t="str">
        <f>'Das data'!D11</f>
        <v>NA</v>
      </c>
      <c r="H61" s="3" t="s">
        <v>74</v>
      </c>
      <c r="I61" s="3" t="s">
        <v>74</v>
      </c>
      <c r="J61" s="3">
        <f>'Das data'!C11</f>
        <v>250</v>
      </c>
      <c r="K61" s="3" t="s">
        <v>74</v>
      </c>
      <c r="L61" s="3" t="s">
        <v>74</v>
      </c>
      <c r="M61" s="3" t="s">
        <v>74</v>
      </c>
      <c r="N61" s="3" t="s">
        <v>74</v>
      </c>
      <c r="O61" s="7" t="s">
        <v>74</v>
      </c>
      <c r="P61" s="3" t="s">
        <v>55</v>
      </c>
      <c r="Q61" s="3" t="s">
        <v>56</v>
      </c>
      <c r="R61" s="3" t="s">
        <v>74</v>
      </c>
      <c r="S61" s="3" t="s">
        <v>72</v>
      </c>
      <c r="T61" s="3" t="s">
        <v>74</v>
      </c>
      <c r="U61" s="3" t="s">
        <v>107</v>
      </c>
      <c r="V61" s="4" t="s">
        <v>390</v>
      </c>
      <c r="W61" s="302">
        <f>'Das data'!F11</f>
        <v>6.8</v>
      </c>
      <c r="X61" s="347"/>
      <c r="Y61" s="347"/>
      <c r="Z61" s="347"/>
      <c r="AA61" s="2"/>
      <c r="AB61" s="2"/>
      <c r="AC61" s="2"/>
      <c r="AD61" s="2"/>
      <c r="AE61" s="2"/>
      <c r="AF61" s="2"/>
      <c r="AG61" s="2"/>
    </row>
    <row r="62" spans="1:33" s="34" customFormat="1" ht="31.5" x14ac:dyDescent="0.25">
      <c r="A62" s="2"/>
      <c r="B62" s="2" t="s">
        <v>387</v>
      </c>
      <c r="C62" s="21" t="s">
        <v>388</v>
      </c>
      <c r="D62" s="3">
        <v>2020</v>
      </c>
      <c r="E62" s="81" t="s">
        <v>395</v>
      </c>
      <c r="F62" s="91" t="s">
        <v>45</v>
      </c>
      <c r="G62" s="3" t="str">
        <f>'Das data'!D12</f>
        <v>M</v>
      </c>
      <c r="H62" s="3" t="s">
        <v>74</v>
      </c>
      <c r="I62" s="3" t="s">
        <v>74</v>
      </c>
      <c r="J62" s="3">
        <f>'Das data'!C12</f>
        <v>57</v>
      </c>
      <c r="K62" s="3" t="s">
        <v>74</v>
      </c>
      <c r="L62" s="3" t="s">
        <v>74</v>
      </c>
      <c r="M62" s="3" t="s">
        <v>74</v>
      </c>
      <c r="N62" s="3" t="s">
        <v>74</v>
      </c>
      <c r="O62" s="7" t="s">
        <v>74</v>
      </c>
      <c r="P62" s="3" t="s">
        <v>55</v>
      </c>
      <c r="Q62" s="3" t="s">
        <v>56</v>
      </c>
      <c r="R62" s="3" t="s">
        <v>74</v>
      </c>
      <c r="S62" s="3" t="s">
        <v>72</v>
      </c>
      <c r="T62" s="3" t="s">
        <v>74</v>
      </c>
      <c r="U62" s="3" t="s">
        <v>107</v>
      </c>
      <c r="V62" s="4" t="s">
        <v>390</v>
      </c>
      <c r="W62" s="302">
        <f>'Das data'!F12</f>
        <v>4.7777777777777777</v>
      </c>
      <c r="X62" s="347"/>
      <c r="Y62" s="347"/>
      <c r="Z62" s="347"/>
      <c r="AA62" s="2"/>
      <c r="AB62" s="2"/>
      <c r="AC62" s="2"/>
      <c r="AD62" s="2"/>
      <c r="AE62" s="2"/>
      <c r="AF62" s="2"/>
      <c r="AG62" s="2"/>
    </row>
    <row r="63" spans="1:33" s="34" customFormat="1" ht="31.5" x14ac:dyDescent="0.25">
      <c r="A63" s="2"/>
      <c r="B63" s="2" t="s">
        <v>387</v>
      </c>
      <c r="C63" s="21" t="s">
        <v>388</v>
      </c>
      <c r="D63" s="3">
        <v>2020</v>
      </c>
      <c r="E63" s="81" t="s">
        <v>396</v>
      </c>
      <c r="F63" s="91" t="s">
        <v>45</v>
      </c>
      <c r="G63" s="3" t="str">
        <f>'Das data'!D13</f>
        <v>M</v>
      </c>
      <c r="H63" s="3" t="s">
        <v>74</v>
      </c>
      <c r="I63" s="3" t="s">
        <v>74</v>
      </c>
      <c r="J63" s="3">
        <f>'Das data'!C13</f>
        <v>57</v>
      </c>
      <c r="K63" s="3" t="s">
        <v>74</v>
      </c>
      <c r="L63" s="3" t="s">
        <v>74</v>
      </c>
      <c r="M63" s="3" t="s">
        <v>74</v>
      </c>
      <c r="N63" s="3" t="s">
        <v>74</v>
      </c>
      <c r="O63" s="7" t="s">
        <v>74</v>
      </c>
      <c r="P63" s="3" t="s">
        <v>55</v>
      </c>
      <c r="Q63" s="3" t="s">
        <v>56</v>
      </c>
      <c r="R63" s="3" t="s">
        <v>74</v>
      </c>
      <c r="S63" s="3" t="s">
        <v>72</v>
      </c>
      <c r="T63" s="3" t="s">
        <v>74</v>
      </c>
      <c r="U63" s="3" t="s">
        <v>107</v>
      </c>
      <c r="V63" s="4" t="s">
        <v>390</v>
      </c>
      <c r="W63" s="302">
        <f>'Das data'!F13</f>
        <v>27.70083102493075</v>
      </c>
      <c r="X63" s="347"/>
      <c r="Y63" s="347"/>
      <c r="Z63" s="347"/>
      <c r="AA63" s="2"/>
      <c r="AB63" s="2"/>
      <c r="AC63" s="2"/>
      <c r="AD63" s="2"/>
      <c r="AE63" s="2"/>
      <c r="AF63" s="2"/>
      <c r="AG63" s="2"/>
    </row>
    <row r="64" spans="1:33" s="34" customFormat="1" ht="31.5" x14ac:dyDescent="0.25">
      <c r="A64" s="2"/>
      <c r="B64" s="2" t="s">
        <v>387</v>
      </c>
      <c r="C64" s="21" t="s">
        <v>388</v>
      </c>
      <c r="D64" s="3">
        <v>2020</v>
      </c>
      <c r="E64" s="81" t="s">
        <v>397</v>
      </c>
      <c r="F64" s="91" t="s">
        <v>45</v>
      </c>
      <c r="G64" s="3" t="str">
        <f>'Das data'!D14</f>
        <v>M</v>
      </c>
      <c r="H64" s="3" t="s">
        <v>74</v>
      </c>
      <c r="I64" s="3" t="s">
        <v>74</v>
      </c>
      <c r="J64" s="3">
        <f>'Das data'!C14</f>
        <v>45</v>
      </c>
      <c r="K64" s="3" t="s">
        <v>74</v>
      </c>
      <c r="L64" s="3" t="s">
        <v>74</v>
      </c>
      <c r="M64" s="3" t="s">
        <v>74</v>
      </c>
      <c r="N64" s="3" t="s">
        <v>74</v>
      </c>
      <c r="O64" s="7" t="s">
        <v>74</v>
      </c>
      <c r="P64" s="3" t="s">
        <v>55</v>
      </c>
      <c r="Q64" s="3" t="s">
        <v>56</v>
      </c>
      <c r="R64" s="3" t="s">
        <v>74</v>
      </c>
      <c r="S64" s="3" t="s">
        <v>72</v>
      </c>
      <c r="T64" s="3" t="s">
        <v>74</v>
      </c>
      <c r="U64" s="3" t="s">
        <v>107</v>
      </c>
      <c r="V64" s="4" t="s">
        <v>390</v>
      </c>
      <c r="W64" s="302">
        <f>'Das data'!F14</f>
        <v>12.136363636363637</v>
      </c>
      <c r="X64" s="347"/>
      <c r="Y64" s="347"/>
      <c r="Z64" s="347"/>
      <c r="AA64" s="2"/>
      <c r="AB64" s="2"/>
      <c r="AC64" s="2"/>
      <c r="AD64" s="2"/>
      <c r="AE64" s="2"/>
      <c r="AF64" s="2"/>
      <c r="AG64" s="2"/>
    </row>
    <row r="65" spans="1:33" s="34" customFormat="1" ht="31.5" x14ac:dyDescent="0.25">
      <c r="A65" s="2"/>
      <c r="B65" s="2" t="s">
        <v>387</v>
      </c>
      <c r="C65" s="21" t="s">
        <v>388</v>
      </c>
      <c r="D65" s="3">
        <v>2020</v>
      </c>
      <c r="E65" s="81" t="s">
        <v>398</v>
      </c>
      <c r="F65" s="91" t="s">
        <v>45</v>
      </c>
      <c r="G65" s="3" t="str">
        <f>'Das data'!D15</f>
        <v>M</v>
      </c>
      <c r="H65" s="3" t="s">
        <v>74</v>
      </c>
      <c r="I65" s="3" t="s">
        <v>74</v>
      </c>
      <c r="J65" s="3">
        <f>'Das data'!C15</f>
        <v>45</v>
      </c>
      <c r="K65" s="3" t="s">
        <v>74</v>
      </c>
      <c r="L65" s="3" t="s">
        <v>74</v>
      </c>
      <c r="M65" s="3" t="s">
        <v>74</v>
      </c>
      <c r="N65" s="3" t="s">
        <v>74</v>
      </c>
      <c r="O65" s="7" t="s">
        <v>74</v>
      </c>
      <c r="P65" s="3" t="s">
        <v>55</v>
      </c>
      <c r="Q65" s="3" t="s">
        <v>56</v>
      </c>
      <c r="R65" s="3" t="s">
        <v>74</v>
      </c>
      <c r="S65" s="3" t="s">
        <v>72</v>
      </c>
      <c r="T65" s="3" t="s">
        <v>74</v>
      </c>
      <c r="U65" s="3" t="s">
        <v>107</v>
      </c>
      <c r="V65" s="4" t="s">
        <v>390</v>
      </c>
      <c r="W65" s="302">
        <f>'Das data'!F15</f>
        <v>30.699999999999996</v>
      </c>
      <c r="X65" s="347"/>
      <c r="Y65" s="347"/>
      <c r="Z65" s="347"/>
      <c r="AA65" s="2"/>
      <c r="AB65" s="2"/>
      <c r="AC65" s="2"/>
      <c r="AD65" s="2"/>
      <c r="AE65" s="2"/>
      <c r="AF65" s="2"/>
      <c r="AG65" s="2"/>
    </row>
    <row r="66" spans="1:33" s="34" customFormat="1" ht="31.5" x14ac:dyDescent="0.25">
      <c r="A66" s="2"/>
      <c r="B66" s="2" t="s">
        <v>387</v>
      </c>
      <c r="C66" s="21" t="s">
        <v>388</v>
      </c>
      <c r="D66" s="3">
        <v>2020</v>
      </c>
      <c r="E66" s="81" t="s">
        <v>399</v>
      </c>
      <c r="F66" s="91" t="s">
        <v>45</v>
      </c>
      <c r="G66" s="3" t="str">
        <f>'Das data'!D16</f>
        <v>L</v>
      </c>
      <c r="H66" s="3" t="s">
        <v>74</v>
      </c>
      <c r="I66" s="3" t="s">
        <v>74</v>
      </c>
      <c r="J66" s="3">
        <f>'Das data'!C16</f>
        <v>130</v>
      </c>
      <c r="K66" s="3" t="s">
        <v>74</v>
      </c>
      <c r="L66" s="3" t="s">
        <v>74</v>
      </c>
      <c r="M66" s="3" t="s">
        <v>74</v>
      </c>
      <c r="N66" s="3" t="s">
        <v>74</v>
      </c>
      <c r="O66" s="7" t="s">
        <v>74</v>
      </c>
      <c r="P66" s="3" t="s">
        <v>55</v>
      </c>
      <c r="Q66" s="3" t="s">
        <v>56</v>
      </c>
      <c r="R66" s="3" t="s">
        <v>74</v>
      </c>
      <c r="S66" s="3" t="s">
        <v>72</v>
      </c>
      <c r="T66" s="3" t="s">
        <v>74</v>
      </c>
      <c r="U66" s="3" t="s">
        <v>107</v>
      </c>
      <c r="V66" s="4" t="s">
        <v>390</v>
      </c>
      <c r="W66" s="302">
        <f>'Das data'!F16</f>
        <v>4.5599999999999996</v>
      </c>
      <c r="X66" s="347"/>
      <c r="Y66" s="347"/>
      <c r="Z66" s="347"/>
      <c r="AA66" s="2"/>
      <c r="AB66" s="2"/>
      <c r="AC66" s="2"/>
      <c r="AD66" s="2"/>
      <c r="AE66" s="2"/>
      <c r="AF66" s="2"/>
      <c r="AG66" s="2"/>
    </row>
    <row r="67" spans="1:33" s="34" customFormat="1" ht="31.5" x14ac:dyDescent="0.25">
      <c r="A67" s="2"/>
      <c r="B67" s="2" t="s">
        <v>387</v>
      </c>
      <c r="C67" s="21" t="s">
        <v>388</v>
      </c>
      <c r="D67" s="3">
        <v>2020</v>
      </c>
      <c r="E67" s="81" t="s">
        <v>400</v>
      </c>
      <c r="F67" s="91" t="s">
        <v>45</v>
      </c>
      <c r="G67" s="3" t="str">
        <f>'Das data'!D17</f>
        <v>L</v>
      </c>
      <c r="H67" s="3" t="s">
        <v>74</v>
      </c>
      <c r="I67" s="3" t="s">
        <v>74</v>
      </c>
      <c r="J67" s="3">
        <f>'Das data'!C17</f>
        <v>130</v>
      </c>
      <c r="K67" s="3" t="s">
        <v>74</v>
      </c>
      <c r="L67" s="3" t="s">
        <v>74</v>
      </c>
      <c r="M67" s="3" t="s">
        <v>74</v>
      </c>
      <c r="N67" s="3" t="s">
        <v>74</v>
      </c>
      <c r="O67" s="7" t="s">
        <v>74</v>
      </c>
      <c r="P67" s="3" t="s">
        <v>55</v>
      </c>
      <c r="Q67" s="3" t="s">
        <v>56</v>
      </c>
      <c r="R67" s="3" t="s">
        <v>74</v>
      </c>
      <c r="S67" s="3" t="s">
        <v>72</v>
      </c>
      <c r="T67" s="3" t="s">
        <v>74</v>
      </c>
      <c r="U67" s="3" t="s">
        <v>107</v>
      </c>
      <c r="V67" s="4" t="s">
        <v>390</v>
      </c>
      <c r="W67" s="302">
        <f>'Das data'!F17</f>
        <v>32.80609418282549</v>
      </c>
      <c r="X67" s="347"/>
      <c r="Y67" s="347"/>
      <c r="Z67" s="347"/>
      <c r="AA67" s="2"/>
      <c r="AB67" s="2"/>
      <c r="AC67" s="2"/>
      <c r="AD67" s="2"/>
      <c r="AE67" s="2"/>
      <c r="AF67" s="2"/>
      <c r="AG67" s="2"/>
    </row>
    <row r="68" spans="1:33" s="34" customFormat="1" ht="31.5" x14ac:dyDescent="0.25">
      <c r="A68" s="2"/>
      <c r="B68" s="2" t="s">
        <v>387</v>
      </c>
      <c r="C68" s="21" t="s">
        <v>388</v>
      </c>
      <c r="D68" s="3">
        <v>2020</v>
      </c>
      <c r="E68" s="81" t="s">
        <v>401</v>
      </c>
      <c r="F68" s="91" t="s">
        <v>45</v>
      </c>
      <c r="G68" s="3" t="str">
        <f>'Das data'!D18</f>
        <v>L,M</v>
      </c>
      <c r="H68" s="3" t="s">
        <v>74</v>
      </c>
      <c r="I68" s="3" t="s">
        <v>74</v>
      </c>
      <c r="J68" s="3" t="str">
        <f>'Das data'!C18</f>
        <v>NA</v>
      </c>
      <c r="K68" s="3" t="s">
        <v>74</v>
      </c>
      <c r="L68" s="3" t="s">
        <v>74</v>
      </c>
      <c r="M68" s="3" t="s">
        <v>74</v>
      </c>
      <c r="N68" s="3" t="s">
        <v>74</v>
      </c>
      <c r="O68" s="7" t="s">
        <v>74</v>
      </c>
      <c r="P68" s="3" t="s">
        <v>55</v>
      </c>
      <c r="Q68" s="3" t="s">
        <v>56</v>
      </c>
      <c r="R68" s="3" t="s">
        <v>74</v>
      </c>
      <c r="S68" s="3" t="s">
        <v>72</v>
      </c>
      <c r="T68" s="3" t="s">
        <v>74</v>
      </c>
      <c r="U68" s="3" t="s">
        <v>107</v>
      </c>
      <c r="V68" s="4" t="s">
        <v>390</v>
      </c>
      <c r="W68" s="302">
        <f>'Das data'!F18</f>
        <v>38</v>
      </c>
      <c r="X68" s="347"/>
      <c r="Y68" s="347"/>
      <c r="Z68" s="347"/>
      <c r="AA68" s="2"/>
      <c r="AB68" s="2"/>
      <c r="AC68" s="2"/>
      <c r="AD68" s="2"/>
      <c r="AE68" s="2"/>
      <c r="AF68" s="2"/>
      <c r="AG68" s="2"/>
    </row>
    <row r="69" spans="1:33" s="34" customFormat="1" ht="31.5" x14ac:dyDescent="0.25">
      <c r="A69" s="2"/>
      <c r="B69" s="2" t="s">
        <v>387</v>
      </c>
      <c r="C69" s="21" t="s">
        <v>388</v>
      </c>
      <c r="D69" s="3">
        <v>2020</v>
      </c>
      <c r="E69" s="81" t="s">
        <v>402</v>
      </c>
      <c r="F69" s="91" t="s">
        <v>45</v>
      </c>
      <c r="G69" s="3" t="str">
        <f>'Das data'!D19</f>
        <v>M</v>
      </c>
      <c r="H69" s="3" t="s">
        <v>74</v>
      </c>
      <c r="I69" s="3" t="s">
        <v>74</v>
      </c>
      <c r="J69" s="3" t="str">
        <f>'Das data'!C19</f>
        <v>NA</v>
      </c>
      <c r="K69" s="3" t="s">
        <v>74</v>
      </c>
      <c r="L69" s="3" t="s">
        <v>74</v>
      </c>
      <c r="M69" s="3" t="s">
        <v>74</v>
      </c>
      <c r="N69" s="3" t="s">
        <v>74</v>
      </c>
      <c r="O69" s="7" t="s">
        <v>74</v>
      </c>
      <c r="P69" s="3" t="s">
        <v>55</v>
      </c>
      <c r="Q69" s="3" t="s">
        <v>56</v>
      </c>
      <c r="R69" s="3" t="s">
        <v>74</v>
      </c>
      <c r="S69" s="3" t="s">
        <v>72</v>
      </c>
      <c r="T69" s="3" t="s">
        <v>74</v>
      </c>
      <c r="U69" s="3" t="s">
        <v>107</v>
      </c>
      <c r="V69" s="4" t="s">
        <v>390</v>
      </c>
      <c r="W69" s="302">
        <f>'Das data'!F19</f>
        <v>30</v>
      </c>
      <c r="X69" s="347"/>
      <c r="Y69" s="347"/>
      <c r="Z69" s="347"/>
      <c r="AA69" s="2"/>
      <c r="AB69" s="2"/>
      <c r="AC69" s="2"/>
      <c r="AD69" s="2"/>
      <c r="AE69" s="2"/>
      <c r="AF69" s="2"/>
      <c r="AG69" s="2"/>
    </row>
    <row r="70" spans="1:33" s="34" customFormat="1" ht="31.5" x14ac:dyDescent="0.25">
      <c r="A70" s="2"/>
      <c r="B70" s="2" t="s">
        <v>387</v>
      </c>
      <c r="C70" s="21" t="s">
        <v>388</v>
      </c>
      <c r="D70" s="3">
        <v>2020</v>
      </c>
      <c r="E70" s="81" t="s">
        <v>403</v>
      </c>
      <c r="F70" s="91" t="s">
        <v>45</v>
      </c>
      <c r="G70" s="3" t="str">
        <f>'Das data'!D20</f>
        <v>M</v>
      </c>
      <c r="H70" s="3" t="s">
        <v>74</v>
      </c>
      <c r="I70" s="3" t="s">
        <v>74</v>
      </c>
      <c r="J70" s="3" t="str">
        <f>'Das data'!C20</f>
        <v>NA</v>
      </c>
      <c r="K70" s="3" t="s">
        <v>74</v>
      </c>
      <c r="L70" s="3" t="s">
        <v>74</v>
      </c>
      <c r="M70" s="3" t="s">
        <v>74</v>
      </c>
      <c r="N70" s="3" t="s">
        <v>74</v>
      </c>
      <c r="O70" s="7" t="s">
        <v>74</v>
      </c>
      <c r="P70" s="3" t="s">
        <v>55</v>
      </c>
      <c r="Q70" s="3" t="s">
        <v>56</v>
      </c>
      <c r="R70" s="3" t="s">
        <v>74</v>
      </c>
      <c r="S70" s="3" t="s">
        <v>72</v>
      </c>
      <c r="T70" s="3" t="s">
        <v>74</v>
      </c>
      <c r="U70" s="3" t="s">
        <v>107</v>
      </c>
      <c r="V70" s="4" t="s">
        <v>390</v>
      </c>
      <c r="W70" s="302">
        <f>'Das data'!F20</f>
        <v>31</v>
      </c>
      <c r="X70" s="347"/>
      <c r="Y70" s="347"/>
      <c r="Z70" s="347"/>
      <c r="AA70" s="2"/>
      <c r="AB70" s="2"/>
      <c r="AC70" s="2"/>
      <c r="AD70" s="2"/>
      <c r="AE70" s="2"/>
      <c r="AF70" s="2"/>
      <c r="AG70" s="2"/>
    </row>
    <row r="71" spans="1:33" s="34" customFormat="1" ht="47.25" x14ac:dyDescent="0.25">
      <c r="A71" s="6"/>
      <c r="B71" s="6" t="s">
        <v>115</v>
      </c>
      <c r="C71" s="21" t="s">
        <v>116</v>
      </c>
      <c r="D71" s="7">
        <v>2016</v>
      </c>
      <c r="E71" s="81" t="s">
        <v>117</v>
      </c>
      <c r="F71" s="91" t="s">
        <v>45</v>
      </c>
      <c r="G71" s="7" t="s">
        <v>52</v>
      </c>
      <c r="H71" s="7" t="s">
        <v>47</v>
      </c>
      <c r="I71" s="7" t="s">
        <v>47</v>
      </c>
      <c r="J71" s="7" t="s">
        <v>74</v>
      </c>
      <c r="K71" s="7" t="s">
        <v>74</v>
      </c>
      <c r="L71" s="7" t="s">
        <v>47</v>
      </c>
      <c r="M71" s="7" t="s">
        <v>47</v>
      </c>
      <c r="N71" s="7" t="s">
        <v>47</v>
      </c>
      <c r="O71" s="7" t="s">
        <v>74</v>
      </c>
      <c r="P71" s="7" t="s">
        <v>118</v>
      </c>
      <c r="Q71" s="7" t="s">
        <v>74</v>
      </c>
      <c r="R71" s="7" t="s">
        <v>72</v>
      </c>
      <c r="S71" s="7" t="s">
        <v>113</v>
      </c>
      <c r="T71" s="7" t="s">
        <v>53</v>
      </c>
      <c r="U71" s="7" t="s">
        <v>47</v>
      </c>
      <c r="V71" s="5" t="s">
        <v>360</v>
      </c>
      <c r="W71" s="303">
        <f>'Ercan data'!E6</f>
        <v>18</v>
      </c>
      <c r="X71" s="79"/>
      <c r="Y71" s="79"/>
      <c r="Z71" s="6"/>
      <c r="AA71" s="6"/>
      <c r="AB71" s="6"/>
      <c r="AC71" s="6"/>
      <c r="AD71" s="6"/>
      <c r="AE71" s="6"/>
      <c r="AF71" s="6"/>
      <c r="AG71" s="6"/>
    </row>
    <row r="72" spans="1:33" s="34" customFormat="1" ht="31.5" x14ac:dyDescent="0.25">
      <c r="A72" s="6"/>
      <c r="B72" s="6" t="s">
        <v>153</v>
      </c>
      <c r="C72" s="21" t="s">
        <v>154</v>
      </c>
      <c r="D72" s="7">
        <v>2017</v>
      </c>
      <c r="E72" s="353" t="s">
        <v>155</v>
      </c>
      <c r="F72" s="91" t="s">
        <v>45</v>
      </c>
      <c r="G72" s="7" t="s">
        <v>156</v>
      </c>
      <c r="H72" s="3" t="s">
        <v>74</v>
      </c>
      <c r="I72" s="3" t="s">
        <v>74</v>
      </c>
      <c r="J72" s="3">
        <f>'Kline data'!O6</f>
        <v>350</v>
      </c>
      <c r="K72" s="3">
        <v>200</v>
      </c>
      <c r="L72" s="3" t="s">
        <v>74</v>
      </c>
      <c r="M72" s="3" t="s">
        <v>74</v>
      </c>
      <c r="N72" s="3" t="s">
        <v>74</v>
      </c>
      <c r="O72" s="7" t="s">
        <v>74</v>
      </c>
      <c r="P72" s="3" t="s">
        <v>118</v>
      </c>
      <c r="Q72" s="3" t="s">
        <v>50</v>
      </c>
      <c r="R72" s="3" t="s">
        <v>74</v>
      </c>
      <c r="S72" s="3" t="s">
        <v>72</v>
      </c>
      <c r="T72" s="3" t="s">
        <v>74</v>
      </c>
      <c r="U72" s="3" t="s">
        <v>74</v>
      </c>
      <c r="V72" s="4" t="s">
        <v>157</v>
      </c>
      <c r="W72" s="303">
        <f>'Kline data'!Q6</f>
        <v>95.59</v>
      </c>
      <c r="X72" s="79"/>
      <c r="Y72" s="79"/>
      <c r="Z72" s="6"/>
      <c r="AA72" s="6"/>
      <c r="AB72" s="6"/>
      <c r="AC72" s="6"/>
      <c r="AD72" s="6"/>
      <c r="AE72" s="6"/>
      <c r="AF72" s="6"/>
      <c r="AG72" s="6"/>
    </row>
    <row r="73" spans="1:33" s="34" customFormat="1" ht="31.5" x14ac:dyDescent="0.25">
      <c r="A73" s="6"/>
      <c r="B73" s="6" t="s">
        <v>153</v>
      </c>
      <c r="C73" s="21" t="s">
        <v>154</v>
      </c>
      <c r="D73" s="7">
        <v>2017</v>
      </c>
      <c r="E73" s="353" t="s">
        <v>158</v>
      </c>
      <c r="F73" s="91" t="s">
        <v>45</v>
      </c>
      <c r="G73" s="7" t="s">
        <v>156</v>
      </c>
      <c r="H73" s="3" t="s">
        <v>74</v>
      </c>
      <c r="I73" s="3" t="s">
        <v>74</v>
      </c>
      <c r="J73" s="3">
        <f>'Kline data'!O7</f>
        <v>250</v>
      </c>
      <c r="K73" s="3">
        <v>200</v>
      </c>
      <c r="L73" s="3" t="s">
        <v>74</v>
      </c>
      <c r="M73" s="3" t="s">
        <v>74</v>
      </c>
      <c r="N73" s="3" t="s">
        <v>74</v>
      </c>
      <c r="O73" s="7" t="s">
        <v>74</v>
      </c>
      <c r="P73" s="3" t="s">
        <v>118</v>
      </c>
      <c r="Q73" s="3" t="s">
        <v>50</v>
      </c>
      <c r="R73" s="3" t="s">
        <v>74</v>
      </c>
      <c r="S73" s="3" t="s">
        <v>72</v>
      </c>
      <c r="T73" s="3" t="s">
        <v>74</v>
      </c>
      <c r="U73" s="3" t="s">
        <v>74</v>
      </c>
      <c r="V73" s="4" t="s">
        <v>157</v>
      </c>
      <c r="W73" s="303">
        <f>'Kline data'!Q7</f>
        <v>75.78</v>
      </c>
      <c r="X73" s="79"/>
      <c r="Y73" s="79"/>
      <c r="Z73" s="6"/>
      <c r="AA73" s="6"/>
      <c r="AB73" s="6"/>
      <c r="AC73" s="6"/>
      <c r="AD73" s="6"/>
      <c r="AE73" s="6"/>
      <c r="AF73" s="6"/>
      <c r="AG73" s="6"/>
    </row>
    <row r="74" spans="1:33" s="34" customFormat="1" ht="31.5" x14ac:dyDescent="0.25">
      <c r="A74" s="6"/>
      <c r="B74" s="6" t="s">
        <v>153</v>
      </c>
      <c r="C74" s="21" t="s">
        <v>154</v>
      </c>
      <c r="D74" s="7">
        <v>2017</v>
      </c>
      <c r="E74" s="353" t="s">
        <v>159</v>
      </c>
      <c r="F74" s="91" t="s">
        <v>45</v>
      </c>
      <c r="G74" s="7" t="s">
        <v>156</v>
      </c>
      <c r="H74" s="3" t="s">
        <v>74</v>
      </c>
      <c r="I74" s="3" t="s">
        <v>74</v>
      </c>
      <c r="J74" s="3">
        <f>'Kline data'!O8</f>
        <v>180</v>
      </c>
      <c r="K74" s="3">
        <v>200</v>
      </c>
      <c r="L74" s="3" t="s">
        <v>74</v>
      </c>
      <c r="M74" s="3" t="s">
        <v>74</v>
      </c>
      <c r="N74" s="3" t="s">
        <v>74</v>
      </c>
      <c r="O74" s="7" t="s">
        <v>74</v>
      </c>
      <c r="P74" s="3" t="s">
        <v>118</v>
      </c>
      <c r="Q74" s="3" t="s">
        <v>50</v>
      </c>
      <c r="R74" s="3" t="s">
        <v>74</v>
      </c>
      <c r="S74" s="3" t="s">
        <v>72</v>
      </c>
      <c r="T74" s="3" t="s">
        <v>74</v>
      </c>
      <c r="U74" s="3" t="s">
        <v>74</v>
      </c>
      <c r="V74" s="4" t="s">
        <v>157</v>
      </c>
      <c r="W74" s="303">
        <f>'Kline data'!Q8</f>
        <v>70.63</v>
      </c>
      <c r="X74" s="79"/>
      <c r="Y74" s="79"/>
      <c r="Z74" s="6"/>
      <c r="AA74" s="6"/>
      <c r="AB74" s="6"/>
      <c r="AC74" s="6"/>
      <c r="AD74" s="6"/>
      <c r="AE74" s="6"/>
      <c r="AF74" s="6"/>
      <c r="AG74" s="6"/>
    </row>
    <row r="75" spans="1:33" s="34" customFormat="1" ht="31.5" x14ac:dyDescent="0.25">
      <c r="A75" s="6"/>
      <c r="B75" s="6" t="s">
        <v>153</v>
      </c>
      <c r="C75" s="21" t="s">
        <v>154</v>
      </c>
      <c r="D75" s="7">
        <v>2017</v>
      </c>
      <c r="E75" s="353" t="s">
        <v>160</v>
      </c>
      <c r="F75" s="91" t="s">
        <v>45</v>
      </c>
      <c r="G75" s="7" t="s">
        <v>156</v>
      </c>
      <c r="H75" s="3" t="s">
        <v>74</v>
      </c>
      <c r="I75" s="3" t="s">
        <v>74</v>
      </c>
      <c r="J75" s="3">
        <f>'Kline data'!O9</f>
        <v>130</v>
      </c>
      <c r="K75" s="3">
        <v>200</v>
      </c>
      <c r="L75" s="3" t="s">
        <v>74</v>
      </c>
      <c r="M75" s="3" t="s">
        <v>74</v>
      </c>
      <c r="N75" s="3" t="s">
        <v>74</v>
      </c>
      <c r="O75" s="7" t="s">
        <v>74</v>
      </c>
      <c r="P75" s="3" t="s">
        <v>118</v>
      </c>
      <c r="Q75" s="3" t="s">
        <v>50</v>
      </c>
      <c r="R75" s="3" t="s">
        <v>74</v>
      </c>
      <c r="S75" s="3" t="s">
        <v>72</v>
      </c>
      <c r="T75" s="3" t="s">
        <v>74</v>
      </c>
      <c r="U75" s="3" t="s">
        <v>74</v>
      </c>
      <c r="V75" s="4" t="s">
        <v>157</v>
      </c>
      <c r="W75" s="303">
        <f>'Kline data'!Q9</f>
        <v>55.8</v>
      </c>
      <c r="X75" s="79"/>
      <c r="Y75" s="79"/>
      <c r="Z75" s="6"/>
      <c r="AA75" s="6"/>
      <c r="AB75" s="6"/>
      <c r="AC75" s="6"/>
      <c r="AD75" s="6"/>
      <c r="AE75" s="6"/>
      <c r="AF75" s="6"/>
      <c r="AG75" s="6"/>
    </row>
    <row r="76" spans="1:33" s="34" customFormat="1" ht="31.5" x14ac:dyDescent="0.25">
      <c r="A76" s="6"/>
      <c r="B76" s="6" t="s">
        <v>153</v>
      </c>
      <c r="C76" s="21" t="s">
        <v>154</v>
      </c>
      <c r="D76" s="7">
        <v>2017</v>
      </c>
      <c r="E76" s="353" t="s">
        <v>161</v>
      </c>
      <c r="F76" s="91" t="s">
        <v>45</v>
      </c>
      <c r="G76" s="7" t="s">
        <v>156</v>
      </c>
      <c r="H76" s="3" t="s">
        <v>74</v>
      </c>
      <c r="I76" s="3" t="s">
        <v>74</v>
      </c>
      <c r="J76" s="3">
        <f>'Kline data'!O10</f>
        <v>90</v>
      </c>
      <c r="K76" s="3">
        <v>200</v>
      </c>
      <c r="L76" s="3" t="s">
        <v>74</v>
      </c>
      <c r="M76" s="3" t="s">
        <v>74</v>
      </c>
      <c r="N76" s="3" t="s">
        <v>74</v>
      </c>
      <c r="O76" s="7" t="s">
        <v>74</v>
      </c>
      <c r="P76" s="3" t="s">
        <v>118</v>
      </c>
      <c r="Q76" s="3" t="s">
        <v>50</v>
      </c>
      <c r="R76" s="3" t="s">
        <v>74</v>
      </c>
      <c r="S76" s="3" t="s">
        <v>72</v>
      </c>
      <c r="T76" s="3" t="s">
        <v>74</v>
      </c>
      <c r="U76" s="3" t="s">
        <v>74</v>
      </c>
      <c r="V76" s="4" t="s">
        <v>157</v>
      </c>
      <c r="W76" s="303">
        <f>'Kline data'!Q10</f>
        <v>60.6</v>
      </c>
      <c r="X76" s="79"/>
      <c r="Y76" s="79"/>
      <c r="Z76" s="6"/>
      <c r="AA76" s="6"/>
      <c r="AB76" s="6"/>
      <c r="AC76" s="6"/>
      <c r="AD76" s="6"/>
      <c r="AE76" s="6"/>
      <c r="AF76" s="6"/>
      <c r="AG76" s="6"/>
    </row>
    <row r="77" spans="1:33" s="34" customFormat="1" ht="31.5" x14ac:dyDescent="0.25">
      <c r="A77" s="6"/>
      <c r="B77" s="6" t="s">
        <v>153</v>
      </c>
      <c r="C77" s="21" t="s">
        <v>154</v>
      </c>
      <c r="D77" s="7">
        <v>2017</v>
      </c>
      <c r="E77" s="353" t="s">
        <v>162</v>
      </c>
      <c r="F77" s="91" t="s">
        <v>45</v>
      </c>
      <c r="G77" s="7" t="s">
        <v>156</v>
      </c>
      <c r="H77" s="3" t="s">
        <v>74</v>
      </c>
      <c r="I77" s="3" t="s">
        <v>74</v>
      </c>
      <c r="J77" s="3">
        <f>'Kline data'!O11</f>
        <v>65</v>
      </c>
      <c r="K77" s="3">
        <v>200</v>
      </c>
      <c r="L77" s="3" t="s">
        <v>74</v>
      </c>
      <c r="M77" s="3" t="s">
        <v>74</v>
      </c>
      <c r="N77" s="3" t="s">
        <v>74</v>
      </c>
      <c r="O77" s="7" t="s">
        <v>74</v>
      </c>
      <c r="P77" s="3" t="s">
        <v>118</v>
      </c>
      <c r="Q77" s="3" t="s">
        <v>50</v>
      </c>
      <c r="R77" s="3" t="s">
        <v>74</v>
      </c>
      <c r="S77" s="3" t="s">
        <v>72</v>
      </c>
      <c r="T77" s="3" t="s">
        <v>74</v>
      </c>
      <c r="U77" s="3" t="s">
        <v>74</v>
      </c>
      <c r="V77" s="4" t="s">
        <v>157</v>
      </c>
      <c r="W77" s="303">
        <f>'Kline data'!Q11</f>
        <v>65.66</v>
      </c>
      <c r="X77" s="79"/>
      <c r="Y77" s="79"/>
      <c r="Z77" s="6"/>
      <c r="AA77" s="6"/>
      <c r="AB77" s="6"/>
      <c r="AC77" s="6"/>
      <c r="AD77" s="6"/>
      <c r="AE77" s="6"/>
      <c r="AF77" s="6"/>
      <c r="AG77" s="6"/>
    </row>
    <row r="78" spans="1:33" s="34" customFormat="1" ht="31.5" x14ac:dyDescent="0.25">
      <c r="A78" s="6"/>
      <c r="B78" s="6" t="s">
        <v>153</v>
      </c>
      <c r="C78" s="21" t="s">
        <v>154</v>
      </c>
      <c r="D78" s="7">
        <v>2017</v>
      </c>
      <c r="E78" s="353" t="s">
        <v>163</v>
      </c>
      <c r="F78" s="91" t="s">
        <v>45</v>
      </c>
      <c r="G78" s="7" t="s">
        <v>156</v>
      </c>
      <c r="H78" s="3" t="s">
        <v>74</v>
      </c>
      <c r="I78" s="3" t="s">
        <v>74</v>
      </c>
      <c r="J78" s="3">
        <f>'Kline data'!O12</f>
        <v>45</v>
      </c>
      <c r="K78" s="3">
        <v>200</v>
      </c>
      <c r="L78" s="3" t="s">
        <v>74</v>
      </c>
      <c r="M78" s="3" t="s">
        <v>74</v>
      </c>
      <c r="N78" s="3" t="s">
        <v>74</v>
      </c>
      <c r="O78" s="7" t="s">
        <v>74</v>
      </c>
      <c r="P78" s="3" t="s">
        <v>118</v>
      </c>
      <c r="Q78" s="3" t="s">
        <v>50</v>
      </c>
      <c r="R78" s="3" t="s">
        <v>74</v>
      </c>
      <c r="S78" s="3" t="s">
        <v>72</v>
      </c>
      <c r="T78" s="3" t="s">
        <v>74</v>
      </c>
      <c r="U78" s="3" t="s">
        <v>74</v>
      </c>
      <c r="V78" s="4" t="s">
        <v>157</v>
      </c>
      <c r="W78" s="303">
        <f>'Kline data'!Q12</f>
        <v>80.67</v>
      </c>
      <c r="X78" s="79"/>
      <c r="Y78" s="79"/>
      <c r="Z78" s="6"/>
      <c r="AA78" s="6"/>
      <c r="AB78" s="6"/>
      <c r="AC78" s="6"/>
      <c r="AD78" s="6"/>
      <c r="AE78" s="6"/>
      <c r="AF78" s="6"/>
      <c r="AG78" s="6"/>
    </row>
    <row r="79" spans="1:33" s="344" customFormat="1" x14ac:dyDescent="0.25">
      <c r="A79" s="2"/>
      <c r="B79" s="327"/>
      <c r="C79" s="329" t="s">
        <v>168</v>
      </c>
      <c r="D79" s="328"/>
      <c r="E79" s="354"/>
      <c r="F79" s="329" t="s">
        <v>168</v>
      </c>
      <c r="G79" s="328"/>
      <c r="H79" s="328"/>
      <c r="I79" s="328"/>
      <c r="J79" s="328"/>
      <c r="K79" s="328"/>
      <c r="L79" s="328"/>
      <c r="M79" s="328"/>
      <c r="N79" s="328"/>
      <c r="O79" s="328"/>
      <c r="P79" s="328"/>
      <c r="Q79" s="328"/>
      <c r="R79" s="328"/>
      <c r="S79" s="328"/>
      <c r="T79" s="328"/>
      <c r="U79" s="328"/>
      <c r="V79" s="330"/>
      <c r="W79" s="338"/>
      <c r="X79" s="331"/>
      <c r="Y79" s="331"/>
      <c r="Z79" s="327"/>
      <c r="AA79" s="327"/>
      <c r="AB79" s="327"/>
      <c r="AC79" s="327"/>
      <c r="AD79" s="327"/>
      <c r="AE79" s="327"/>
      <c r="AF79" s="327"/>
      <c r="AG79" s="327"/>
    </row>
    <row r="80" spans="1:33" s="34" customFormat="1" ht="31.5" x14ac:dyDescent="0.25">
      <c r="A80" s="2"/>
      <c r="B80" s="6" t="s">
        <v>169</v>
      </c>
      <c r="C80" s="7" t="s">
        <v>170</v>
      </c>
      <c r="D80" s="3">
        <v>1983</v>
      </c>
      <c r="E80" s="81" t="s">
        <v>171</v>
      </c>
      <c r="F80" s="7" t="s">
        <v>51</v>
      </c>
      <c r="G80" s="7" t="s">
        <v>58</v>
      </c>
      <c r="H80" s="7" t="s">
        <v>47</v>
      </c>
      <c r="I80" s="7" t="s">
        <v>74</v>
      </c>
      <c r="J80" s="7" t="s">
        <v>58</v>
      </c>
      <c r="K80" s="7">
        <v>100</v>
      </c>
      <c r="L80" s="7" t="s">
        <v>74</v>
      </c>
      <c r="M80" s="7" t="s">
        <v>74</v>
      </c>
      <c r="N80" s="7" t="s">
        <v>74</v>
      </c>
      <c r="O80" s="7" t="s">
        <v>172</v>
      </c>
      <c r="P80" s="3" t="s">
        <v>173</v>
      </c>
      <c r="Q80" s="7" t="s">
        <v>74</v>
      </c>
      <c r="R80" s="7" t="s">
        <v>47</v>
      </c>
      <c r="S80" s="7" t="s">
        <v>53</v>
      </c>
      <c r="T80" s="7" t="s">
        <v>53</v>
      </c>
      <c r="U80" s="3" t="s">
        <v>47</v>
      </c>
      <c r="V80" s="4" t="s">
        <v>404</v>
      </c>
      <c r="W80" s="302">
        <f>'Plepys data'!AC5</f>
        <v>33.614457831325304</v>
      </c>
      <c r="X80" s="2"/>
      <c r="Y80" s="2"/>
      <c r="Z80" s="2"/>
      <c r="AA80" s="2"/>
      <c r="AB80" s="2"/>
      <c r="AC80" s="2"/>
      <c r="AD80" s="2"/>
      <c r="AE80" s="2"/>
      <c r="AF80" s="2"/>
      <c r="AG80" s="2"/>
    </row>
    <row r="81" spans="1:33" s="34" customFormat="1" ht="31.5" x14ac:dyDescent="0.25">
      <c r="A81" s="2"/>
      <c r="B81" s="6" t="s">
        <v>169</v>
      </c>
      <c r="C81" s="7" t="s">
        <v>170</v>
      </c>
      <c r="D81" s="3">
        <v>1984</v>
      </c>
      <c r="E81" s="81" t="s">
        <v>171</v>
      </c>
      <c r="F81" s="7" t="s">
        <v>51</v>
      </c>
      <c r="G81" s="7" t="s">
        <v>58</v>
      </c>
      <c r="H81" s="7" t="s">
        <v>47</v>
      </c>
      <c r="I81" s="7" t="s">
        <v>74</v>
      </c>
      <c r="J81" s="7" t="s">
        <v>58</v>
      </c>
      <c r="K81" s="7">
        <v>200</v>
      </c>
      <c r="L81" s="7" t="s">
        <v>74</v>
      </c>
      <c r="M81" s="7" t="s">
        <v>74</v>
      </c>
      <c r="N81" s="7" t="s">
        <v>74</v>
      </c>
      <c r="O81" s="7" t="s">
        <v>48</v>
      </c>
      <c r="P81" s="3" t="s">
        <v>173</v>
      </c>
      <c r="Q81" s="7" t="s">
        <v>74</v>
      </c>
      <c r="R81" s="7" t="s">
        <v>47</v>
      </c>
      <c r="S81" s="7" t="s">
        <v>53</v>
      </c>
      <c r="T81" s="7" t="s">
        <v>53</v>
      </c>
      <c r="U81" s="3" t="s">
        <v>47</v>
      </c>
      <c r="V81" s="4" t="s">
        <v>404</v>
      </c>
      <c r="W81" s="302">
        <f>'Plepys data'!AC6</f>
        <v>35.349397590361441</v>
      </c>
      <c r="X81" s="2"/>
      <c r="Y81" s="2"/>
      <c r="Z81" s="2"/>
      <c r="AA81" s="2"/>
      <c r="AB81" s="2"/>
      <c r="AC81" s="2"/>
      <c r="AD81" s="2"/>
      <c r="AE81" s="2"/>
      <c r="AF81" s="2"/>
      <c r="AG81" s="2"/>
    </row>
    <row r="82" spans="1:33" s="34" customFormat="1" ht="31.5" x14ac:dyDescent="0.25">
      <c r="A82" s="2"/>
      <c r="B82" s="6" t="s">
        <v>169</v>
      </c>
      <c r="C82" s="7" t="s">
        <v>170</v>
      </c>
      <c r="D82" s="3">
        <v>1988</v>
      </c>
      <c r="E82" s="81" t="s">
        <v>171</v>
      </c>
      <c r="F82" s="7" t="s">
        <v>51</v>
      </c>
      <c r="G82" s="7" t="s">
        <v>58</v>
      </c>
      <c r="H82" s="7" t="s">
        <v>47</v>
      </c>
      <c r="I82" s="7" t="s">
        <v>74</v>
      </c>
      <c r="J82" s="7" t="s">
        <v>58</v>
      </c>
      <c r="K82" s="7">
        <v>150</v>
      </c>
      <c r="L82" s="7" t="s">
        <v>74</v>
      </c>
      <c r="M82" s="7" t="s">
        <v>74</v>
      </c>
      <c r="N82" s="7" t="s">
        <v>74</v>
      </c>
      <c r="O82" s="7" t="s">
        <v>48</v>
      </c>
      <c r="P82" s="3" t="s">
        <v>173</v>
      </c>
      <c r="Q82" s="7" t="s">
        <v>74</v>
      </c>
      <c r="R82" s="7" t="s">
        <v>47</v>
      </c>
      <c r="S82" s="7" t="s">
        <v>53</v>
      </c>
      <c r="T82" s="7" t="s">
        <v>53</v>
      </c>
      <c r="U82" s="3" t="s">
        <v>47</v>
      </c>
      <c r="V82" s="4" t="s">
        <v>404</v>
      </c>
      <c r="W82" s="302">
        <f>'Plepys data'!AC7</f>
        <v>20.168674698795183</v>
      </c>
      <c r="X82" s="2"/>
      <c r="Y82" s="2"/>
      <c r="Z82" s="2"/>
      <c r="AA82" s="2"/>
      <c r="AB82" s="2"/>
      <c r="AC82" s="2"/>
      <c r="AD82" s="2"/>
      <c r="AE82" s="2"/>
      <c r="AF82" s="2"/>
      <c r="AG82" s="2"/>
    </row>
    <row r="83" spans="1:33" s="34" customFormat="1" ht="31.5" x14ac:dyDescent="0.25">
      <c r="A83" s="2"/>
      <c r="B83" s="6" t="s">
        <v>169</v>
      </c>
      <c r="C83" s="7" t="s">
        <v>170</v>
      </c>
      <c r="D83" s="3">
        <v>1993</v>
      </c>
      <c r="E83" s="81" t="s">
        <v>171</v>
      </c>
      <c r="F83" s="7" t="s">
        <v>51</v>
      </c>
      <c r="G83" s="7" t="s">
        <v>58</v>
      </c>
      <c r="H83" s="7" t="s">
        <v>47</v>
      </c>
      <c r="I83" s="7" t="s">
        <v>74</v>
      </c>
      <c r="J83" s="7" t="s">
        <v>58</v>
      </c>
      <c r="K83" s="7">
        <v>150</v>
      </c>
      <c r="L83" s="7" t="s">
        <v>74</v>
      </c>
      <c r="M83" s="7" t="s">
        <v>74</v>
      </c>
      <c r="N83" s="7" t="s">
        <v>74</v>
      </c>
      <c r="O83" s="7" t="s">
        <v>48</v>
      </c>
      <c r="P83" s="3" t="s">
        <v>173</v>
      </c>
      <c r="Q83" s="7" t="s">
        <v>74</v>
      </c>
      <c r="R83" s="7" t="s">
        <v>47</v>
      </c>
      <c r="S83" s="7" t="s">
        <v>53</v>
      </c>
      <c r="T83" s="7" t="s">
        <v>53</v>
      </c>
      <c r="U83" s="3" t="s">
        <v>47</v>
      </c>
      <c r="V83" s="4" t="s">
        <v>404</v>
      </c>
      <c r="W83" s="302">
        <f>'Plepys data'!AC8</f>
        <v>14.421686746987953</v>
      </c>
      <c r="X83" s="2"/>
      <c r="Y83" s="2"/>
      <c r="Z83" s="2"/>
      <c r="AA83" s="2"/>
      <c r="AB83" s="2"/>
      <c r="AC83" s="2"/>
      <c r="AD83" s="2"/>
      <c r="AE83" s="2"/>
      <c r="AF83" s="2"/>
      <c r="AG83" s="2"/>
    </row>
    <row r="84" spans="1:33" s="34" customFormat="1" ht="31.5" x14ac:dyDescent="0.25">
      <c r="A84" s="2"/>
      <c r="B84" s="6" t="s">
        <v>169</v>
      </c>
      <c r="C84" s="7" t="s">
        <v>170</v>
      </c>
      <c r="D84" s="3">
        <v>1993</v>
      </c>
      <c r="E84" s="81" t="s">
        <v>171</v>
      </c>
      <c r="F84" s="7" t="s">
        <v>51</v>
      </c>
      <c r="G84" s="7" t="s">
        <v>58</v>
      </c>
      <c r="H84" s="7" t="s">
        <v>47</v>
      </c>
      <c r="I84" s="7" t="s">
        <v>74</v>
      </c>
      <c r="J84" s="7" t="s">
        <v>58</v>
      </c>
      <c r="K84" s="7">
        <v>150</v>
      </c>
      <c r="L84" s="7" t="s">
        <v>74</v>
      </c>
      <c r="M84" s="7" t="s">
        <v>74</v>
      </c>
      <c r="N84" s="7" t="s">
        <v>74</v>
      </c>
      <c r="O84" s="7" t="s">
        <v>48</v>
      </c>
      <c r="P84" s="3" t="s">
        <v>173</v>
      </c>
      <c r="Q84" s="7" t="s">
        <v>74</v>
      </c>
      <c r="R84" s="7" t="s">
        <v>47</v>
      </c>
      <c r="S84" s="7" t="s">
        <v>53</v>
      </c>
      <c r="T84" s="7" t="s">
        <v>53</v>
      </c>
      <c r="U84" s="3" t="s">
        <v>47</v>
      </c>
      <c r="V84" s="4" t="s">
        <v>404</v>
      </c>
      <c r="W84" s="302">
        <f>'Plepys data'!AC9</f>
        <v>17.783132530120483</v>
      </c>
      <c r="X84" s="2"/>
      <c r="Y84" s="2"/>
      <c r="Z84" s="2"/>
      <c r="AA84" s="2"/>
      <c r="AB84" s="2"/>
      <c r="AC84" s="2"/>
      <c r="AD84" s="2"/>
      <c r="AE84" s="2"/>
      <c r="AF84" s="2"/>
      <c r="AG84" s="2"/>
    </row>
    <row r="85" spans="1:33" s="34" customFormat="1" ht="31.5" x14ac:dyDescent="0.25">
      <c r="A85" s="2"/>
      <c r="B85" s="6" t="s">
        <v>169</v>
      </c>
      <c r="C85" s="7" t="s">
        <v>170</v>
      </c>
      <c r="D85" s="3">
        <v>1994</v>
      </c>
      <c r="E85" s="81" t="s">
        <v>171</v>
      </c>
      <c r="F85" s="7" t="s">
        <v>51</v>
      </c>
      <c r="G85" s="7" t="s">
        <v>58</v>
      </c>
      <c r="H85" s="7" t="s">
        <v>47</v>
      </c>
      <c r="I85" s="7" t="s">
        <v>74</v>
      </c>
      <c r="J85" s="7" t="s">
        <v>58</v>
      </c>
      <c r="K85" s="7">
        <v>150</v>
      </c>
      <c r="L85" s="7" t="s">
        <v>74</v>
      </c>
      <c r="M85" s="7" t="s">
        <v>74</v>
      </c>
      <c r="N85" s="7" t="s">
        <v>74</v>
      </c>
      <c r="O85" s="7" t="s">
        <v>48</v>
      </c>
      <c r="P85" s="3" t="s">
        <v>173</v>
      </c>
      <c r="Q85" s="7" t="s">
        <v>74</v>
      </c>
      <c r="R85" s="7" t="s">
        <v>47</v>
      </c>
      <c r="S85" s="7" t="s">
        <v>53</v>
      </c>
      <c r="T85" s="7" t="s">
        <v>53</v>
      </c>
      <c r="U85" s="3" t="s">
        <v>47</v>
      </c>
      <c r="V85" s="4" t="s">
        <v>404</v>
      </c>
      <c r="W85" s="302">
        <f>'Plepys data'!AC10</f>
        <v>16.590361445783135</v>
      </c>
      <c r="X85" s="2"/>
      <c r="Y85" s="2"/>
      <c r="Z85" s="2"/>
      <c r="AA85" s="2"/>
      <c r="AB85" s="2"/>
      <c r="AC85" s="2"/>
      <c r="AD85" s="2"/>
      <c r="AE85" s="2"/>
      <c r="AF85" s="2"/>
      <c r="AG85" s="2"/>
    </row>
    <row r="86" spans="1:33" s="34" customFormat="1" ht="31.5" x14ac:dyDescent="0.25">
      <c r="A86" s="2"/>
      <c r="B86" s="6" t="s">
        <v>169</v>
      </c>
      <c r="C86" s="7" t="s">
        <v>170</v>
      </c>
      <c r="D86" s="3">
        <v>1994</v>
      </c>
      <c r="E86" s="81" t="s">
        <v>171</v>
      </c>
      <c r="F86" s="7" t="s">
        <v>51</v>
      </c>
      <c r="G86" s="7" t="s">
        <v>58</v>
      </c>
      <c r="H86" s="7" t="s">
        <v>47</v>
      </c>
      <c r="I86" s="7" t="s">
        <v>74</v>
      </c>
      <c r="J86" s="7" t="s">
        <v>58</v>
      </c>
      <c r="K86" s="7">
        <v>150</v>
      </c>
      <c r="L86" s="7" t="s">
        <v>74</v>
      </c>
      <c r="M86" s="7" t="s">
        <v>74</v>
      </c>
      <c r="N86" s="7" t="s">
        <v>74</v>
      </c>
      <c r="O86" s="7" t="s">
        <v>59</v>
      </c>
      <c r="P86" s="3" t="s">
        <v>173</v>
      </c>
      <c r="Q86" s="7" t="s">
        <v>74</v>
      </c>
      <c r="R86" s="7" t="s">
        <v>47</v>
      </c>
      <c r="S86" s="7" t="s">
        <v>53</v>
      </c>
      <c r="T86" s="7" t="s">
        <v>53</v>
      </c>
      <c r="U86" s="3" t="s">
        <v>47</v>
      </c>
      <c r="V86" s="4" t="s">
        <v>404</v>
      </c>
      <c r="W86" s="302">
        <f>'Plepys data'!AC11</f>
        <v>10.409638554216869</v>
      </c>
      <c r="X86" s="2"/>
      <c r="Y86" s="2"/>
      <c r="Z86" s="2"/>
      <c r="AA86" s="2"/>
      <c r="AB86" s="2"/>
      <c r="AC86" s="2"/>
      <c r="AD86" s="2"/>
      <c r="AE86" s="2"/>
      <c r="AF86" s="2"/>
      <c r="AG86" s="2"/>
    </row>
    <row r="87" spans="1:33" s="34" customFormat="1" ht="31.5" x14ac:dyDescent="0.25">
      <c r="A87" s="2"/>
      <c r="B87" s="6" t="s">
        <v>169</v>
      </c>
      <c r="C87" s="7" t="s">
        <v>170</v>
      </c>
      <c r="D87" s="3">
        <v>1995</v>
      </c>
      <c r="E87" s="81" t="s">
        <v>171</v>
      </c>
      <c r="F87" s="7" t="s">
        <v>51</v>
      </c>
      <c r="G87" s="7" t="s">
        <v>58</v>
      </c>
      <c r="H87" s="7" t="s">
        <v>47</v>
      </c>
      <c r="I87" s="7" t="s">
        <v>74</v>
      </c>
      <c r="J87" s="7" t="s">
        <v>58</v>
      </c>
      <c r="K87" s="7" t="s">
        <v>74</v>
      </c>
      <c r="L87" s="7" t="s">
        <v>74</v>
      </c>
      <c r="M87" s="7" t="s">
        <v>74</v>
      </c>
      <c r="N87" s="7" t="s">
        <v>74</v>
      </c>
      <c r="O87" s="7" t="s">
        <v>64</v>
      </c>
      <c r="P87" s="3" t="s">
        <v>173</v>
      </c>
      <c r="Q87" s="7" t="s">
        <v>74</v>
      </c>
      <c r="R87" s="7" t="s">
        <v>47</v>
      </c>
      <c r="S87" s="7" t="s">
        <v>53</v>
      </c>
      <c r="T87" s="7" t="s">
        <v>53</v>
      </c>
      <c r="U87" s="3" t="s">
        <v>47</v>
      </c>
      <c r="V87" s="4" t="s">
        <v>404</v>
      </c>
      <c r="W87" s="302">
        <f>'Plepys data'!AC12</f>
        <v>15.6144578313253</v>
      </c>
      <c r="X87" s="2"/>
      <c r="Y87" s="2"/>
      <c r="Z87" s="2"/>
      <c r="AA87" s="2"/>
      <c r="AB87" s="2"/>
      <c r="AC87" s="2"/>
      <c r="AD87" s="2"/>
      <c r="AE87" s="2"/>
      <c r="AF87" s="2"/>
      <c r="AG87" s="2"/>
    </row>
    <row r="88" spans="1:33" s="34" customFormat="1" ht="31.5" x14ac:dyDescent="0.25">
      <c r="A88" s="2"/>
      <c r="B88" s="6" t="s">
        <v>169</v>
      </c>
      <c r="C88" s="7" t="s">
        <v>170</v>
      </c>
      <c r="D88" s="3">
        <v>1995</v>
      </c>
      <c r="E88" s="81" t="s">
        <v>171</v>
      </c>
      <c r="F88" s="7" t="s">
        <v>51</v>
      </c>
      <c r="G88" s="7" t="s">
        <v>58</v>
      </c>
      <c r="H88" s="7" t="s">
        <v>47</v>
      </c>
      <c r="I88" s="7" t="s">
        <v>74</v>
      </c>
      <c r="J88" s="7" t="s">
        <v>58</v>
      </c>
      <c r="K88" s="7" t="s">
        <v>74</v>
      </c>
      <c r="L88" s="7" t="s">
        <v>74</v>
      </c>
      <c r="M88" s="7" t="s">
        <v>74</v>
      </c>
      <c r="N88" s="7" t="s">
        <v>74</v>
      </c>
      <c r="O88" s="7" t="s">
        <v>64</v>
      </c>
      <c r="P88" s="3" t="s">
        <v>173</v>
      </c>
      <c r="Q88" s="7" t="s">
        <v>74</v>
      </c>
      <c r="R88" s="7" t="s">
        <v>47</v>
      </c>
      <c r="S88" s="7" t="s">
        <v>53</v>
      </c>
      <c r="T88" s="7" t="s">
        <v>53</v>
      </c>
      <c r="U88" s="3" t="s">
        <v>47</v>
      </c>
      <c r="V88" s="4" t="s">
        <v>404</v>
      </c>
      <c r="W88" s="302">
        <f>'Plepys data'!AC13</f>
        <v>15.289156626506024</v>
      </c>
      <c r="X88" s="2"/>
      <c r="Y88" s="2"/>
      <c r="Z88" s="2"/>
      <c r="AA88" s="2"/>
      <c r="AB88" s="2"/>
      <c r="AC88" s="2"/>
      <c r="AD88" s="2"/>
      <c r="AE88" s="2"/>
      <c r="AF88" s="2"/>
      <c r="AG88" s="2"/>
    </row>
    <row r="89" spans="1:33" s="34" customFormat="1" ht="31.5" x14ac:dyDescent="0.25">
      <c r="A89" s="2"/>
      <c r="B89" s="6" t="s">
        <v>169</v>
      </c>
      <c r="C89" s="7" t="s">
        <v>170</v>
      </c>
      <c r="D89" s="3">
        <v>1997</v>
      </c>
      <c r="E89" s="81" t="s">
        <v>171</v>
      </c>
      <c r="F89" s="7" t="s">
        <v>51</v>
      </c>
      <c r="G89" s="7" t="s">
        <v>58</v>
      </c>
      <c r="H89" s="7" t="s">
        <v>47</v>
      </c>
      <c r="I89" s="7" t="s">
        <v>74</v>
      </c>
      <c r="J89" s="7" t="s">
        <v>58</v>
      </c>
      <c r="K89" s="7">
        <v>150</v>
      </c>
      <c r="L89" s="7" t="s">
        <v>74</v>
      </c>
      <c r="M89" s="7" t="s">
        <v>74</v>
      </c>
      <c r="N89" s="7" t="s">
        <v>74</v>
      </c>
      <c r="O89" s="7" t="s">
        <v>59</v>
      </c>
      <c r="P89" s="3" t="s">
        <v>173</v>
      </c>
      <c r="Q89" s="7" t="s">
        <v>74</v>
      </c>
      <c r="R89" s="7" t="s">
        <v>47</v>
      </c>
      <c r="S89" s="7" t="s">
        <v>53</v>
      </c>
      <c r="T89" s="7" t="s">
        <v>53</v>
      </c>
      <c r="U89" s="3" t="s">
        <v>47</v>
      </c>
      <c r="V89" s="4" t="s">
        <v>404</v>
      </c>
      <c r="W89" s="302">
        <f>'Plepys data'!AC14</f>
        <v>5.5301204819277112</v>
      </c>
      <c r="X89" s="2"/>
      <c r="Y89" s="2"/>
      <c r="Z89" s="2"/>
      <c r="AA89" s="2"/>
      <c r="AB89" s="2"/>
      <c r="AC89" s="2"/>
      <c r="AD89" s="2"/>
      <c r="AE89" s="2"/>
      <c r="AF89" s="2"/>
      <c r="AG89" s="2"/>
    </row>
    <row r="90" spans="1:33" s="34" customFormat="1" ht="31.5" x14ac:dyDescent="0.25">
      <c r="A90" s="2"/>
      <c r="B90" s="6" t="s">
        <v>169</v>
      </c>
      <c r="C90" s="7" t="s">
        <v>170</v>
      </c>
      <c r="D90" s="3">
        <v>1997</v>
      </c>
      <c r="E90" s="81" t="s">
        <v>171</v>
      </c>
      <c r="F90" s="7" t="s">
        <v>51</v>
      </c>
      <c r="G90" s="7" t="s">
        <v>58</v>
      </c>
      <c r="H90" s="7" t="s">
        <v>47</v>
      </c>
      <c r="I90" s="7" t="s">
        <v>74</v>
      </c>
      <c r="J90" s="7" t="s">
        <v>58</v>
      </c>
      <c r="K90" s="7">
        <v>150</v>
      </c>
      <c r="L90" s="7" t="s">
        <v>74</v>
      </c>
      <c r="M90" s="7" t="s">
        <v>74</v>
      </c>
      <c r="N90" s="7" t="s">
        <v>74</v>
      </c>
      <c r="O90" s="7" t="s">
        <v>59</v>
      </c>
      <c r="P90" s="3" t="s">
        <v>173</v>
      </c>
      <c r="Q90" s="7" t="s">
        <v>74</v>
      </c>
      <c r="R90" s="7" t="s">
        <v>47</v>
      </c>
      <c r="S90" s="7" t="s">
        <v>53</v>
      </c>
      <c r="T90" s="7" t="s">
        <v>53</v>
      </c>
      <c r="U90" s="3" t="s">
        <v>47</v>
      </c>
      <c r="V90" s="4" t="s">
        <v>404</v>
      </c>
      <c r="W90" s="302">
        <f>'Plepys data'!AC15</f>
        <v>9.7590361445783138</v>
      </c>
      <c r="X90" s="2"/>
      <c r="Y90" s="2"/>
      <c r="Z90" s="2"/>
      <c r="AA90" s="2"/>
      <c r="AB90" s="2"/>
      <c r="AC90" s="2"/>
      <c r="AD90" s="2"/>
      <c r="AE90" s="2"/>
      <c r="AF90" s="2"/>
      <c r="AG90" s="2"/>
    </row>
    <row r="91" spans="1:33" s="34" customFormat="1" ht="31.5" x14ac:dyDescent="0.25">
      <c r="A91" s="2"/>
      <c r="B91" s="6" t="s">
        <v>169</v>
      </c>
      <c r="C91" s="7" t="s">
        <v>170</v>
      </c>
      <c r="D91" s="3">
        <v>1997</v>
      </c>
      <c r="E91" s="81" t="s">
        <v>171</v>
      </c>
      <c r="F91" s="7" t="s">
        <v>51</v>
      </c>
      <c r="G91" s="7" t="s">
        <v>58</v>
      </c>
      <c r="H91" s="7" t="s">
        <v>47</v>
      </c>
      <c r="I91" s="7" t="s">
        <v>74</v>
      </c>
      <c r="J91" s="7" t="s">
        <v>58</v>
      </c>
      <c r="K91" s="7">
        <v>200</v>
      </c>
      <c r="L91" s="7" t="s">
        <v>74</v>
      </c>
      <c r="M91" s="7" t="s">
        <v>74</v>
      </c>
      <c r="N91" s="7" t="s">
        <v>74</v>
      </c>
      <c r="O91" s="7" t="s">
        <v>48</v>
      </c>
      <c r="P91" s="3" t="s">
        <v>173</v>
      </c>
      <c r="Q91" s="7" t="s">
        <v>74</v>
      </c>
      <c r="R91" s="7" t="s">
        <v>47</v>
      </c>
      <c r="S91" s="7" t="s">
        <v>53</v>
      </c>
      <c r="T91" s="7" t="s">
        <v>53</v>
      </c>
      <c r="U91" s="3" t="s">
        <v>47</v>
      </c>
      <c r="V91" s="4" t="s">
        <v>404</v>
      </c>
      <c r="W91" s="302">
        <f>'Plepys data'!AC16</f>
        <v>15.180722891566266</v>
      </c>
      <c r="X91" s="2"/>
      <c r="Y91" s="2"/>
      <c r="Z91" s="2"/>
      <c r="AA91" s="2"/>
      <c r="AB91" s="2"/>
      <c r="AC91" s="2"/>
      <c r="AD91" s="2"/>
      <c r="AE91" s="2"/>
      <c r="AF91" s="2"/>
      <c r="AG91" s="2"/>
    </row>
    <row r="92" spans="1:33" s="34" customFormat="1" ht="31.5" x14ac:dyDescent="0.25">
      <c r="A92" s="2"/>
      <c r="B92" s="6" t="s">
        <v>169</v>
      </c>
      <c r="C92" s="7" t="s">
        <v>170</v>
      </c>
      <c r="D92" s="3">
        <v>1997</v>
      </c>
      <c r="E92" s="81" t="s">
        <v>171</v>
      </c>
      <c r="F92" s="7" t="s">
        <v>51</v>
      </c>
      <c r="G92" s="7" t="s">
        <v>58</v>
      </c>
      <c r="H92" s="7" t="s">
        <v>47</v>
      </c>
      <c r="I92" s="7" t="s">
        <v>74</v>
      </c>
      <c r="J92" s="7" t="s">
        <v>58</v>
      </c>
      <c r="K92" s="7">
        <v>200</v>
      </c>
      <c r="L92" s="7" t="s">
        <v>74</v>
      </c>
      <c r="M92" s="7" t="s">
        <v>74</v>
      </c>
      <c r="N92" s="7" t="s">
        <v>74</v>
      </c>
      <c r="O92" s="7" t="s">
        <v>48</v>
      </c>
      <c r="P92" s="3" t="s">
        <v>173</v>
      </c>
      <c r="Q92" s="7" t="s">
        <v>74</v>
      </c>
      <c r="R92" s="7" t="s">
        <v>47</v>
      </c>
      <c r="S92" s="7" t="s">
        <v>53</v>
      </c>
      <c r="T92" s="7" t="s">
        <v>53</v>
      </c>
      <c r="U92" s="3" t="s">
        <v>47</v>
      </c>
      <c r="V92" s="4" t="s">
        <v>404</v>
      </c>
      <c r="W92" s="302">
        <f>'Plepys data'!AC17</f>
        <v>19.192771084337348</v>
      </c>
      <c r="X92" s="2"/>
      <c r="Y92" s="2"/>
      <c r="Z92" s="2"/>
      <c r="AA92" s="2"/>
      <c r="AB92" s="2"/>
      <c r="AC92" s="2"/>
      <c r="AD92" s="2"/>
      <c r="AE92" s="2"/>
      <c r="AF92" s="2"/>
      <c r="AG92" s="2"/>
    </row>
    <row r="93" spans="1:33" s="34" customFormat="1" ht="31.5" x14ac:dyDescent="0.25">
      <c r="A93" s="2"/>
      <c r="B93" s="6" t="s">
        <v>169</v>
      </c>
      <c r="C93" s="7" t="s">
        <v>170</v>
      </c>
      <c r="D93" s="3">
        <v>1997</v>
      </c>
      <c r="E93" s="81" t="s">
        <v>171</v>
      </c>
      <c r="F93" s="7" t="s">
        <v>51</v>
      </c>
      <c r="G93" s="7" t="s">
        <v>58</v>
      </c>
      <c r="H93" s="7" t="s">
        <v>47</v>
      </c>
      <c r="I93" s="7" t="s">
        <v>74</v>
      </c>
      <c r="J93" s="7" t="s">
        <v>58</v>
      </c>
      <c r="K93" s="7" t="s">
        <v>74</v>
      </c>
      <c r="L93" s="7" t="s">
        <v>74</v>
      </c>
      <c r="M93" s="7" t="s">
        <v>74</v>
      </c>
      <c r="N93" s="7" t="s">
        <v>74</v>
      </c>
      <c r="O93" s="7" t="s">
        <v>48</v>
      </c>
      <c r="P93" s="3" t="s">
        <v>173</v>
      </c>
      <c r="Q93" s="7" t="s">
        <v>74</v>
      </c>
      <c r="R93" s="7" t="s">
        <v>47</v>
      </c>
      <c r="S93" s="7" t="s">
        <v>53</v>
      </c>
      <c r="T93" s="7" t="s">
        <v>53</v>
      </c>
      <c r="U93" s="3" t="s">
        <v>47</v>
      </c>
      <c r="V93" s="4" t="s">
        <v>404</v>
      </c>
      <c r="W93" s="302">
        <f>'Plepys data'!AC18</f>
        <v>8.6746987951807242</v>
      </c>
      <c r="X93" s="2"/>
      <c r="Y93" s="2"/>
      <c r="Z93" s="2"/>
      <c r="AA93" s="2"/>
      <c r="AB93" s="2"/>
      <c r="AC93" s="2"/>
      <c r="AD93" s="2"/>
      <c r="AE93" s="2"/>
      <c r="AF93" s="2"/>
      <c r="AG93" s="2"/>
    </row>
    <row r="94" spans="1:33" s="34" customFormat="1" ht="31.5" x14ac:dyDescent="0.25">
      <c r="A94" s="2"/>
      <c r="B94" s="6" t="s">
        <v>169</v>
      </c>
      <c r="C94" s="7" t="s">
        <v>170</v>
      </c>
      <c r="D94" s="3">
        <v>1997</v>
      </c>
      <c r="E94" s="81" t="s">
        <v>171</v>
      </c>
      <c r="F94" s="7" t="s">
        <v>51</v>
      </c>
      <c r="G94" s="7" t="s">
        <v>58</v>
      </c>
      <c r="H94" s="7" t="s">
        <v>47</v>
      </c>
      <c r="I94" s="7" t="s">
        <v>74</v>
      </c>
      <c r="J94" s="7" t="s">
        <v>58</v>
      </c>
      <c r="K94" s="7" t="s">
        <v>74</v>
      </c>
      <c r="L94" s="7" t="s">
        <v>74</v>
      </c>
      <c r="M94" s="7" t="s">
        <v>74</v>
      </c>
      <c r="N94" s="7" t="s">
        <v>74</v>
      </c>
      <c r="O94" s="7" t="s">
        <v>48</v>
      </c>
      <c r="P94" s="3" t="s">
        <v>173</v>
      </c>
      <c r="Q94" s="7" t="s">
        <v>74</v>
      </c>
      <c r="R94" s="7" t="s">
        <v>47</v>
      </c>
      <c r="S94" s="7" t="s">
        <v>53</v>
      </c>
      <c r="T94" s="7" t="s">
        <v>53</v>
      </c>
      <c r="U94" s="3" t="s">
        <v>47</v>
      </c>
      <c r="V94" s="4" t="s">
        <v>404</v>
      </c>
      <c r="W94" s="302">
        <f>'Plepys data'!AC19</f>
        <v>17.349397590361448</v>
      </c>
      <c r="X94" s="2"/>
      <c r="Y94" s="2"/>
      <c r="Z94" s="2"/>
      <c r="AA94" s="2"/>
      <c r="AB94" s="2"/>
      <c r="AC94" s="2"/>
      <c r="AD94" s="2"/>
      <c r="AE94" s="2"/>
      <c r="AF94" s="2"/>
      <c r="AG94" s="2"/>
    </row>
    <row r="95" spans="1:33" s="34" customFormat="1" ht="31.5" x14ac:dyDescent="0.25">
      <c r="A95" s="2"/>
      <c r="B95" s="6" t="s">
        <v>169</v>
      </c>
      <c r="C95" s="7" t="s">
        <v>170</v>
      </c>
      <c r="D95" s="3">
        <v>1998</v>
      </c>
      <c r="E95" s="81" t="s">
        <v>171</v>
      </c>
      <c r="F95" s="7" t="s">
        <v>51</v>
      </c>
      <c r="G95" s="7" t="s">
        <v>58</v>
      </c>
      <c r="H95" s="7" t="s">
        <v>47</v>
      </c>
      <c r="I95" s="7" t="s">
        <v>74</v>
      </c>
      <c r="J95" s="7" t="s">
        <v>58</v>
      </c>
      <c r="K95" s="7" t="s">
        <v>74</v>
      </c>
      <c r="L95" s="7" t="s">
        <v>74</v>
      </c>
      <c r="M95" s="7" t="s">
        <v>74</v>
      </c>
      <c r="N95" s="7" t="s">
        <v>74</v>
      </c>
      <c r="O95" s="7" t="s">
        <v>48</v>
      </c>
      <c r="P95" s="3" t="s">
        <v>173</v>
      </c>
      <c r="Q95" s="7" t="s">
        <v>74</v>
      </c>
      <c r="R95" s="7" t="s">
        <v>47</v>
      </c>
      <c r="S95" s="7" t="s">
        <v>53</v>
      </c>
      <c r="T95" s="7" t="s">
        <v>53</v>
      </c>
      <c r="U95" s="3" t="s">
        <v>47</v>
      </c>
      <c r="V95" s="4" t="s">
        <v>404</v>
      </c>
      <c r="W95" s="302">
        <f>'Plepys data'!AC20</f>
        <v>12.46987951807229</v>
      </c>
      <c r="X95" s="2"/>
      <c r="Y95" s="2"/>
      <c r="Z95" s="2"/>
      <c r="AA95" s="2"/>
      <c r="AB95" s="2"/>
      <c r="AC95" s="2"/>
      <c r="AD95" s="2"/>
      <c r="AE95" s="2"/>
      <c r="AF95" s="2"/>
      <c r="AG95" s="2"/>
    </row>
    <row r="96" spans="1:33" s="34" customFormat="1" ht="31.5" x14ac:dyDescent="0.25">
      <c r="A96" s="2"/>
      <c r="B96" s="6" t="s">
        <v>169</v>
      </c>
      <c r="C96" s="7" t="s">
        <v>170</v>
      </c>
      <c r="D96" s="3">
        <v>1998</v>
      </c>
      <c r="E96" s="81" t="s">
        <v>171</v>
      </c>
      <c r="F96" s="7" t="s">
        <v>51</v>
      </c>
      <c r="G96" s="7" t="s">
        <v>58</v>
      </c>
      <c r="H96" s="7" t="s">
        <v>47</v>
      </c>
      <c r="I96" s="7" t="s">
        <v>74</v>
      </c>
      <c r="J96" s="7" t="s">
        <v>58</v>
      </c>
      <c r="K96" s="7">
        <v>200</v>
      </c>
      <c r="L96" s="7" t="s">
        <v>74</v>
      </c>
      <c r="M96" s="7" t="s">
        <v>74</v>
      </c>
      <c r="N96" s="7" t="s">
        <v>74</v>
      </c>
      <c r="O96" s="7" t="s">
        <v>65</v>
      </c>
      <c r="P96" s="3" t="s">
        <v>173</v>
      </c>
      <c r="Q96" s="7" t="s">
        <v>74</v>
      </c>
      <c r="R96" s="7" t="s">
        <v>47</v>
      </c>
      <c r="S96" s="7" t="s">
        <v>53</v>
      </c>
      <c r="T96" s="7" t="s">
        <v>53</v>
      </c>
      <c r="U96" s="3" t="s">
        <v>47</v>
      </c>
      <c r="V96" s="4" t="s">
        <v>404</v>
      </c>
      <c r="W96" s="302">
        <f>'Plepys data'!AC21</f>
        <v>16.91566265060241</v>
      </c>
      <c r="X96" s="2"/>
      <c r="Y96" s="2"/>
      <c r="Z96" s="2"/>
      <c r="AA96" s="2"/>
      <c r="AB96" s="2"/>
      <c r="AC96" s="2"/>
      <c r="AD96" s="2"/>
      <c r="AE96" s="2"/>
      <c r="AF96" s="2"/>
      <c r="AG96" s="2"/>
    </row>
    <row r="97" spans="1:33" s="34" customFormat="1" ht="31.5" x14ac:dyDescent="0.25">
      <c r="A97" s="2"/>
      <c r="B97" s="6" t="s">
        <v>169</v>
      </c>
      <c r="C97" s="7" t="s">
        <v>170</v>
      </c>
      <c r="D97" s="3">
        <v>1996</v>
      </c>
      <c r="E97" s="81" t="s">
        <v>171</v>
      </c>
      <c r="F97" s="7" t="s">
        <v>51</v>
      </c>
      <c r="G97" s="7" t="s">
        <v>58</v>
      </c>
      <c r="H97" s="7" t="s">
        <v>47</v>
      </c>
      <c r="I97" s="7" t="s">
        <v>74</v>
      </c>
      <c r="J97" s="7" t="s">
        <v>58</v>
      </c>
      <c r="K97" s="7">
        <v>200</v>
      </c>
      <c r="L97" s="7" t="s">
        <v>74</v>
      </c>
      <c r="M97" s="7" t="s">
        <v>74</v>
      </c>
      <c r="N97" s="7" t="s">
        <v>74</v>
      </c>
      <c r="O97" s="7" t="s">
        <v>48</v>
      </c>
      <c r="P97" s="3" t="s">
        <v>173</v>
      </c>
      <c r="Q97" s="7" t="s">
        <v>74</v>
      </c>
      <c r="R97" s="7" t="s">
        <v>47</v>
      </c>
      <c r="S97" s="7" t="s">
        <v>53</v>
      </c>
      <c r="T97" s="7" t="s">
        <v>53</v>
      </c>
      <c r="U97" s="3" t="s">
        <v>47</v>
      </c>
      <c r="V97" s="4" t="s">
        <v>404</v>
      </c>
      <c r="W97" s="302">
        <f>'Plepys data'!AC22</f>
        <v>16.481927710843372</v>
      </c>
      <c r="X97" s="2"/>
      <c r="Y97" s="2"/>
      <c r="Z97" s="2"/>
      <c r="AA97" s="2"/>
      <c r="AB97" s="2"/>
      <c r="AC97" s="2"/>
      <c r="AD97" s="2"/>
      <c r="AE97" s="2"/>
      <c r="AF97" s="2"/>
      <c r="AG97" s="2"/>
    </row>
    <row r="98" spans="1:33" s="34" customFormat="1" ht="31.5" x14ac:dyDescent="0.25">
      <c r="A98" s="2"/>
      <c r="B98" s="6" t="s">
        <v>169</v>
      </c>
      <c r="C98" s="7" t="s">
        <v>170</v>
      </c>
      <c r="D98" s="3">
        <v>1999</v>
      </c>
      <c r="E98" s="81" t="s">
        <v>171</v>
      </c>
      <c r="F98" s="7" t="s">
        <v>51</v>
      </c>
      <c r="G98" s="7" t="s">
        <v>58</v>
      </c>
      <c r="H98" s="7" t="s">
        <v>47</v>
      </c>
      <c r="I98" s="7" t="s">
        <v>74</v>
      </c>
      <c r="J98" s="7" t="s">
        <v>58</v>
      </c>
      <c r="K98" s="7">
        <v>200</v>
      </c>
      <c r="L98" s="7" t="s">
        <v>74</v>
      </c>
      <c r="M98" s="7" t="s">
        <v>74</v>
      </c>
      <c r="N98" s="7" t="s">
        <v>74</v>
      </c>
      <c r="O98" s="7" t="s">
        <v>65</v>
      </c>
      <c r="P98" s="3" t="s">
        <v>173</v>
      </c>
      <c r="Q98" s="7" t="s">
        <v>74</v>
      </c>
      <c r="R98" s="7" t="s">
        <v>47</v>
      </c>
      <c r="S98" s="7" t="s">
        <v>53</v>
      </c>
      <c r="T98" s="7" t="s">
        <v>53</v>
      </c>
      <c r="U98" s="3" t="s">
        <v>47</v>
      </c>
      <c r="V98" s="4" t="s">
        <v>404</v>
      </c>
      <c r="W98" s="302">
        <f>'Plepys data'!AC23</f>
        <v>14.638554216867471</v>
      </c>
      <c r="X98" s="2"/>
      <c r="Y98" s="2"/>
      <c r="Z98" s="2"/>
      <c r="AA98" s="2"/>
      <c r="AB98" s="2"/>
      <c r="AC98" s="2"/>
      <c r="AD98" s="2"/>
      <c r="AE98" s="2"/>
      <c r="AF98" s="2"/>
      <c r="AG98" s="2"/>
    </row>
    <row r="99" spans="1:33" s="34" customFormat="1" ht="31.5" x14ac:dyDescent="0.25">
      <c r="A99" s="2"/>
      <c r="B99" s="6" t="s">
        <v>169</v>
      </c>
      <c r="C99" s="7" t="s">
        <v>170</v>
      </c>
      <c r="D99" s="3">
        <v>2000</v>
      </c>
      <c r="E99" s="81" t="s">
        <v>171</v>
      </c>
      <c r="F99" s="7" t="s">
        <v>51</v>
      </c>
      <c r="G99" s="7" t="s">
        <v>58</v>
      </c>
      <c r="H99" s="7" t="s">
        <v>47</v>
      </c>
      <c r="I99" s="7" t="s">
        <v>74</v>
      </c>
      <c r="J99" s="7" t="s">
        <v>58</v>
      </c>
      <c r="K99" s="7">
        <v>200</v>
      </c>
      <c r="L99" s="7" t="s">
        <v>74</v>
      </c>
      <c r="M99" s="7" t="s">
        <v>74</v>
      </c>
      <c r="N99" s="7" t="s">
        <v>74</v>
      </c>
      <c r="O99" s="7" t="s">
        <v>65</v>
      </c>
      <c r="P99" s="3" t="s">
        <v>173</v>
      </c>
      <c r="Q99" s="7" t="s">
        <v>74</v>
      </c>
      <c r="R99" s="7" t="s">
        <v>47</v>
      </c>
      <c r="S99" s="7" t="s">
        <v>53</v>
      </c>
      <c r="T99" s="7" t="s">
        <v>53</v>
      </c>
      <c r="U99" s="3" t="s">
        <v>47</v>
      </c>
      <c r="V99" s="4" t="s">
        <v>404</v>
      </c>
      <c r="W99" s="302">
        <f>'Plepys data'!AC24</f>
        <v>13.337349397590362</v>
      </c>
      <c r="X99" s="2"/>
      <c r="Y99" s="2"/>
      <c r="Z99" s="2"/>
      <c r="AA99" s="2"/>
      <c r="AB99" s="2"/>
      <c r="AC99" s="2"/>
      <c r="AD99" s="2"/>
      <c r="AE99" s="2"/>
      <c r="AF99" s="2"/>
      <c r="AG99" s="2"/>
    </row>
    <row r="100" spans="1:33" s="34" customFormat="1" ht="31.5" x14ac:dyDescent="0.25">
      <c r="A100" s="2"/>
      <c r="B100" s="6" t="s">
        <v>169</v>
      </c>
      <c r="C100" s="7" t="s">
        <v>170</v>
      </c>
      <c r="D100" s="3">
        <v>2000</v>
      </c>
      <c r="E100" s="81" t="s">
        <v>171</v>
      </c>
      <c r="F100" s="7" t="s">
        <v>51</v>
      </c>
      <c r="G100" s="7" t="s">
        <v>58</v>
      </c>
      <c r="H100" s="7" t="s">
        <v>47</v>
      </c>
      <c r="I100" s="7" t="s">
        <v>74</v>
      </c>
      <c r="J100" s="7" t="s">
        <v>58</v>
      </c>
      <c r="K100" s="7">
        <v>200</v>
      </c>
      <c r="L100" s="7" t="s">
        <v>74</v>
      </c>
      <c r="M100" s="7" t="s">
        <v>74</v>
      </c>
      <c r="N100" s="7" t="s">
        <v>74</v>
      </c>
      <c r="O100" s="7" t="s">
        <v>65</v>
      </c>
      <c r="P100" s="3" t="s">
        <v>173</v>
      </c>
      <c r="Q100" s="7" t="s">
        <v>74</v>
      </c>
      <c r="R100" s="7" t="s">
        <v>47</v>
      </c>
      <c r="S100" s="7" t="s">
        <v>53</v>
      </c>
      <c r="T100" s="7" t="s">
        <v>53</v>
      </c>
      <c r="U100" s="3" t="s">
        <v>47</v>
      </c>
      <c r="V100" s="4" t="s">
        <v>404</v>
      </c>
      <c r="W100" s="302">
        <f>'Plepys data'!AC25</f>
        <v>12.903614457831324</v>
      </c>
      <c r="X100" s="2"/>
      <c r="Y100" s="2"/>
      <c r="Z100" s="2"/>
      <c r="AA100" s="2"/>
      <c r="AB100" s="2"/>
      <c r="AC100" s="2"/>
      <c r="AD100" s="2"/>
      <c r="AE100" s="2"/>
      <c r="AF100" s="2"/>
      <c r="AG100" s="2"/>
    </row>
    <row r="101" spans="1:33" s="34" customFormat="1" ht="31.5" x14ac:dyDescent="0.25">
      <c r="A101" s="2"/>
      <c r="B101" s="6" t="s">
        <v>169</v>
      </c>
      <c r="C101" s="7" t="s">
        <v>170</v>
      </c>
      <c r="D101" s="3">
        <v>2001</v>
      </c>
      <c r="E101" s="81" t="s">
        <v>171</v>
      </c>
      <c r="F101" s="7" t="s">
        <v>51</v>
      </c>
      <c r="G101" s="7" t="s">
        <v>58</v>
      </c>
      <c r="H101" s="7" t="s">
        <v>47</v>
      </c>
      <c r="I101" s="7" t="s">
        <v>74</v>
      </c>
      <c r="J101" s="7" t="s">
        <v>58</v>
      </c>
      <c r="K101" s="7">
        <v>300</v>
      </c>
      <c r="L101" s="7" t="s">
        <v>74</v>
      </c>
      <c r="M101" s="7" t="s">
        <v>74</v>
      </c>
      <c r="N101" s="7" t="s">
        <v>74</v>
      </c>
      <c r="O101" s="7" t="s">
        <v>48</v>
      </c>
      <c r="P101" s="3" t="s">
        <v>173</v>
      </c>
      <c r="Q101" s="7" t="s">
        <v>74</v>
      </c>
      <c r="R101" s="7" t="s">
        <v>47</v>
      </c>
      <c r="S101" s="7" t="s">
        <v>53</v>
      </c>
      <c r="T101" s="7" t="s">
        <v>53</v>
      </c>
      <c r="U101" s="3" t="s">
        <v>47</v>
      </c>
      <c r="V101" s="4" t="s">
        <v>404</v>
      </c>
      <c r="W101" s="302">
        <f>'Plepys data'!AC26</f>
        <v>21.46987951807229</v>
      </c>
      <c r="X101" s="2"/>
      <c r="Y101" s="2"/>
      <c r="Z101" s="2"/>
      <c r="AA101" s="2"/>
      <c r="AB101" s="2"/>
      <c r="AC101" s="2"/>
      <c r="AD101" s="2"/>
      <c r="AE101" s="2"/>
      <c r="AF101" s="2"/>
      <c r="AG101" s="2"/>
    </row>
    <row r="102" spans="1:33" s="34" customFormat="1" ht="31.5" x14ac:dyDescent="0.25">
      <c r="A102" s="2"/>
      <c r="B102" s="6" t="s">
        <v>169</v>
      </c>
      <c r="C102" s="7" t="s">
        <v>170</v>
      </c>
      <c r="D102" s="3">
        <v>2002</v>
      </c>
      <c r="E102" s="81" t="s">
        <v>171</v>
      </c>
      <c r="F102" s="7" t="s">
        <v>51</v>
      </c>
      <c r="G102" s="7" t="s">
        <v>58</v>
      </c>
      <c r="H102" s="7" t="s">
        <v>47</v>
      </c>
      <c r="I102" s="7" t="s">
        <v>74</v>
      </c>
      <c r="J102" s="7" t="s">
        <v>58</v>
      </c>
      <c r="K102" s="7">
        <v>300</v>
      </c>
      <c r="L102" s="7" t="s">
        <v>74</v>
      </c>
      <c r="M102" s="7" t="s">
        <v>74</v>
      </c>
      <c r="N102" s="7" t="s">
        <v>74</v>
      </c>
      <c r="O102" s="7" t="s">
        <v>65</v>
      </c>
      <c r="P102" s="3" t="s">
        <v>173</v>
      </c>
      <c r="Q102" s="7" t="s">
        <v>74</v>
      </c>
      <c r="R102" s="7" t="s">
        <v>47</v>
      </c>
      <c r="S102" s="7" t="s">
        <v>53</v>
      </c>
      <c r="T102" s="7" t="s">
        <v>53</v>
      </c>
      <c r="U102" s="3" t="s">
        <v>47</v>
      </c>
      <c r="V102" s="4" t="s">
        <v>404</v>
      </c>
      <c r="W102" s="302">
        <f>'Plepys data'!AC27</f>
        <v>5.4216867469879517</v>
      </c>
      <c r="X102" s="2"/>
      <c r="Y102" s="2"/>
      <c r="Z102" s="2"/>
      <c r="AA102" s="2"/>
      <c r="AB102" s="2"/>
      <c r="AC102" s="2"/>
      <c r="AD102" s="2"/>
      <c r="AE102" s="2"/>
      <c r="AF102" s="2"/>
      <c r="AG102" s="2"/>
    </row>
    <row r="103" spans="1:33" s="34" customFormat="1" ht="31.5" x14ac:dyDescent="0.25">
      <c r="A103" s="2"/>
      <c r="B103" s="6" t="s">
        <v>169</v>
      </c>
      <c r="C103" s="7" t="s">
        <v>170</v>
      </c>
      <c r="D103" s="3">
        <v>2002</v>
      </c>
      <c r="E103" s="81" t="s">
        <v>171</v>
      </c>
      <c r="F103" s="7" t="s">
        <v>51</v>
      </c>
      <c r="G103" s="7" t="s">
        <v>58</v>
      </c>
      <c r="H103" s="7" t="s">
        <v>47</v>
      </c>
      <c r="I103" s="7" t="s">
        <v>74</v>
      </c>
      <c r="J103" s="7" t="s">
        <v>58</v>
      </c>
      <c r="K103" s="7">
        <v>300</v>
      </c>
      <c r="L103" s="7" t="s">
        <v>74</v>
      </c>
      <c r="M103" s="7" t="s">
        <v>74</v>
      </c>
      <c r="N103" s="7" t="s">
        <v>74</v>
      </c>
      <c r="O103" s="7" t="s">
        <v>65</v>
      </c>
      <c r="P103" s="3" t="s">
        <v>173</v>
      </c>
      <c r="Q103" s="7" t="s">
        <v>74</v>
      </c>
      <c r="R103" s="7" t="s">
        <v>47</v>
      </c>
      <c r="S103" s="7" t="s">
        <v>53</v>
      </c>
      <c r="T103" s="7" t="s">
        <v>53</v>
      </c>
      <c r="U103" s="3" t="s">
        <v>47</v>
      </c>
      <c r="V103" s="4" t="s">
        <v>404</v>
      </c>
      <c r="W103" s="302">
        <f>'Plepys data'!AC28</f>
        <v>7.5903614457831328</v>
      </c>
      <c r="X103" s="2"/>
      <c r="Y103" s="2"/>
      <c r="Z103" s="2"/>
      <c r="AA103" s="2"/>
      <c r="AB103" s="2"/>
      <c r="AC103" s="2"/>
      <c r="AD103" s="2"/>
      <c r="AE103" s="2"/>
      <c r="AF103" s="2"/>
      <c r="AG103" s="2"/>
    </row>
    <row r="104" spans="1:33" s="34" customFormat="1" ht="31.5" x14ac:dyDescent="0.25">
      <c r="A104" s="2"/>
      <c r="B104" s="6" t="s">
        <v>169</v>
      </c>
      <c r="C104" s="7" t="s">
        <v>170</v>
      </c>
      <c r="D104" s="3">
        <v>2002</v>
      </c>
      <c r="E104" s="81" t="s">
        <v>171</v>
      </c>
      <c r="F104" s="7" t="s">
        <v>51</v>
      </c>
      <c r="G104" s="7" t="s">
        <v>58</v>
      </c>
      <c r="H104" s="7" t="s">
        <v>47</v>
      </c>
      <c r="I104" s="7" t="s">
        <v>74</v>
      </c>
      <c r="J104" s="7" t="s">
        <v>58</v>
      </c>
      <c r="K104" s="7">
        <v>300</v>
      </c>
      <c r="L104" s="7" t="s">
        <v>74</v>
      </c>
      <c r="M104" s="7" t="s">
        <v>74</v>
      </c>
      <c r="N104" s="7" t="s">
        <v>74</v>
      </c>
      <c r="O104" s="7" t="s">
        <v>65</v>
      </c>
      <c r="P104" s="3" t="s">
        <v>173</v>
      </c>
      <c r="Q104" s="7" t="s">
        <v>74</v>
      </c>
      <c r="R104" s="7" t="s">
        <v>47</v>
      </c>
      <c r="S104" s="7" t="s">
        <v>53</v>
      </c>
      <c r="T104" s="7" t="s">
        <v>53</v>
      </c>
      <c r="U104" s="3" t="s">
        <v>47</v>
      </c>
      <c r="V104" s="4" t="s">
        <v>404</v>
      </c>
      <c r="W104" s="302">
        <f>'Plepys data'!AC29</f>
        <v>19.951807228915666</v>
      </c>
      <c r="X104" s="2"/>
      <c r="Y104" s="2"/>
      <c r="Z104" s="2"/>
      <c r="AA104" s="2"/>
      <c r="AB104" s="2"/>
      <c r="AC104" s="2"/>
      <c r="AD104" s="2"/>
      <c r="AE104" s="2"/>
      <c r="AF104" s="2"/>
      <c r="AG104" s="2"/>
    </row>
    <row r="105" spans="1:33" s="34" customFormat="1" ht="31.5" x14ac:dyDescent="0.25">
      <c r="A105" s="2"/>
      <c r="B105" s="6" t="s">
        <v>169</v>
      </c>
      <c r="C105" s="7" t="s">
        <v>170</v>
      </c>
      <c r="D105" s="3">
        <v>2002</v>
      </c>
      <c r="E105" s="81" t="s">
        <v>171</v>
      </c>
      <c r="F105" s="7" t="s">
        <v>51</v>
      </c>
      <c r="G105" s="7" t="s">
        <v>58</v>
      </c>
      <c r="H105" s="7" t="s">
        <v>47</v>
      </c>
      <c r="I105" s="7" t="s">
        <v>74</v>
      </c>
      <c r="J105" s="7" t="s">
        <v>58</v>
      </c>
      <c r="K105" s="7">
        <v>100</v>
      </c>
      <c r="L105" s="7" t="s">
        <v>74</v>
      </c>
      <c r="M105" s="7" t="s">
        <v>74</v>
      </c>
      <c r="N105" s="7" t="s">
        <v>74</v>
      </c>
      <c r="O105" s="7" t="s">
        <v>48</v>
      </c>
      <c r="P105" s="3" t="s">
        <v>173</v>
      </c>
      <c r="Q105" s="7" t="s">
        <v>74</v>
      </c>
      <c r="R105" s="7" t="s">
        <v>47</v>
      </c>
      <c r="S105" s="7" t="s">
        <v>53</v>
      </c>
      <c r="T105" s="7" t="s">
        <v>53</v>
      </c>
      <c r="U105" s="3" t="s">
        <v>47</v>
      </c>
      <c r="V105" s="4" t="s">
        <v>404</v>
      </c>
      <c r="W105" s="302">
        <f>'Plepys data'!AC30</f>
        <v>54.975903614457835</v>
      </c>
      <c r="X105" s="2"/>
      <c r="Y105" s="2"/>
      <c r="Z105" s="2"/>
      <c r="AA105" s="2"/>
      <c r="AB105" s="2"/>
      <c r="AC105" s="2"/>
      <c r="AD105" s="2"/>
      <c r="AE105" s="2"/>
      <c r="AF105" s="2"/>
      <c r="AG105" s="2"/>
    </row>
    <row r="106" spans="1:33" s="34" customFormat="1" ht="31.5" x14ac:dyDescent="0.25">
      <c r="A106" s="2"/>
      <c r="B106" s="6" t="s">
        <v>169</v>
      </c>
      <c r="C106" s="7" t="s">
        <v>170</v>
      </c>
      <c r="D106" s="3">
        <v>2002</v>
      </c>
      <c r="E106" s="81" t="s">
        <v>171</v>
      </c>
      <c r="F106" s="7" t="s">
        <v>51</v>
      </c>
      <c r="G106" s="7" t="s">
        <v>58</v>
      </c>
      <c r="H106" s="7" t="s">
        <v>47</v>
      </c>
      <c r="I106" s="7" t="s">
        <v>74</v>
      </c>
      <c r="J106" s="7" t="s">
        <v>58</v>
      </c>
      <c r="K106" s="7">
        <v>200</v>
      </c>
      <c r="L106" s="7" t="s">
        <v>74</v>
      </c>
      <c r="M106" s="7" t="s">
        <v>74</v>
      </c>
      <c r="N106" s="7" t="s">
        <v>74</v>
      </c>
      <c r="O106" s="7" t="s">
        <v>48</v>
      </c>
      <c r="P106" s="3" t="s">
        <v>173</v>
      </c>
      <c r="Q106" s="7" t="s">
        <v>74</v>
      </c>
      <c r="R106" s="7" t="s">
        <v>47</v>
      </c>
      <c r="S106" s="7" t="s">
        <v>53</v>
      </c>
      <c r="T106" s="7" t="s">
        <v>53</v>
      </c>
      <c r="U106" s="3" t="s">
        <v>47</v>
      </c>
      <c r="V106" s="4" t="s">
        <v>404</v>
      </c>
      <c r="W106" s="302">
        <f>'Plepys data'!AC31</f>
        <v>37.0843373493976</v>
      </c>
      <c r="X106" s="2"/>
      <c r="Y106" s="2"/>
      <c r="Z106" s="2"/>
      <c r="AA106" s="2"/>
      <c r="AB106" s="2"/>
      <c r="AC106" s="2"/>
      <c r="AD106" s="2"/>
      <c r="AE106" s="2"/>
      <c r="AF106" s="2"/>
      <c r="AG106" s="2"/>
    </row>
    <row r="107" spans="1:33" s="34" customFormat="1" ht="31.5" x14ac:dyDescent="0.25">
      <c r="A107" s="2"/>
      <c r="B107" s="6" t="s">
        <v>169</v>
      </c>
      <c r="C107" s="7" t="s">
        <v>170</v>
      </c>
      <c r="D107" s="3">
        <v>2003</v>
      </c>
      <c r="E107" s="81" t="s">
        <v>171</v>
      </c>
      <c r="F107" s="7" t="s">
        <v>51</v>
      </c>
      <c r="G107" s="7" t="s">
        <v>58</v>
      </c>
      <c r="H107" s="7" t="s">
        <v>47</v>
      </c>
      <c r="I107" s="7" t="s">
        <v>74</v>
      </c>
      <c r="J107" s="7" t="s">
        <v>58</v>
      </c>
      <c r="K107" s="7">
        <v>100</v>
      </c>
      <c r="L107" s="7" t="s">
        <v>74</v>
      </c>
      <c r="M107" s="7" t="s">
        <v>74</v>
      </c>
      <c r="N107" s="7" t="s">
        <v>74</v>
      </c>
      <c r="O107" s="7" t="s">
        <v>48</v>
      </c>
      <c r="P107" s="3" t="s">
        <v>173</v>
      </c>
      <c r="Q107" s="7" t="s">
        <v>74</v>
      </c>
      <c r="R107" s="7" t="s">
        <v>47</v>
      </c>
      <c r="S107" s="7" t="s">
        <v>53</v>
      </c>
      <c r="T107" s="7" t="s">
        <v>53</v>
      </c>
      <c r="U107" s="3" t="s">
        <v>47</v>
      </c>
      <c r="V107" s="4" t="s">
        <v>404</v>
      </c>
      <c r="W107" s="302">
        <f>'Plepys data'!AC32</f>
        <v>56.060240963855428</v>
      </c>
      <c r="X107" s="2"/>
      <c r="Y107" s="2"/>
      <c r="Z107" s="2"/>
      <c r="AA107" s="2"/>
      <c r="AB107" s="2"/>
      <c r="AC107" s="2"/>
      <c r="AD107" s="2"/>
      <c r="AE107" s="2"/>
      <c r="AF107" s="2"/>
      <c r="AG107" s="2"/>
    </row>
    <row r="108" spans="1:33" s="34" customFormat="1" ht="31.5" x14ac:dyDescent="0.25">
      <c r="A108" s="2"/>
      <c r="B108" s="6" t="s">
        <v>169</v>
      </c>
      <c r="C108" s="7" t="s">
        <v>170</v>
      </c>
      <c r="D108" s="3">
        <v>2003</v>
      </c>
      <c r="E108" s="81" t="s">
        <v>171</v>
      </c>
      <c r="F108" s="7" t="s">
        <v>51</v>
      </c>
      <c r="G108" s="7" t="s">
        <v>58</v>
      </c>
      <c r="H108" s="7" t="s">
        <v>47</v>
      </c>
      <c r="I108" s="7" t="s">
        <v>74</v>
      </c>
      <c r="J108" s="7" t="s">
        <v>58</v>
      </c>
      <c r="K108" s="7">
        <v>200</v>
      </c>
      <c r="L108" s="7" t="s">
        <v>74</v>
      </c>
      <c r="M108" s="7" t="s">
        <v>74</v>
      </c>
      <c r="N108" s="7" t="s">
        <v>74</v>
      </c>
      <c r="O108" s="7" t="s">
        <v>48</v>
      </c>
      <c r="P108" s="3" t="s">
        <v>173</v>
      </c>
      <c r="Q108" s="7" t="s">
        <v>74</v>
      </c>
      <c r="R108" s="7" t="s">
        <v>47</v>
      </c>
      <c r="S108" s="7" t="s">
        <v>53</v>
      </c>
      <c r="T108" s="7" t="s">
        <v>53</v>
      </c>
      <c r="U108" s="3" t="s">
        <v>47</v>
      </c>
      <c r="V108" s="4" t="s">
        <v>404</v>
      </c>
      <c r="W108" s="302">
        <f>'Plepys data'!AC33</f>
        <v>19.409638554216869</v>
      </c>
      <c r="X108" s="2"/>
      <c r="Y108" s="2"/>
      <c r="Z108" s="2"/>
      <c r="AA108" s="2"/>
      <c r="AB108" s="2"/>
      <c r="AC108" s="2"/>
      <c r="AD108" s="2"/>
      <c r="AE108" s="2"/>
      <c r="AF108" s="2"/>
      <c r="AG108" s="2"/>
    </row>
    <row r="109" spans="1:33" s="34" customFormat="1" ht="47.25" x14ac:dyDescent="0.25">
      <c r="A109" s="2"/>
      <c r="B109" s="6" t="s">
        <v>115</v>
      </c>
      <c r="C109" s="7" t="s">
        <v>116</v>
      </c>
      <c r="D109" s="3">
        <v>1995</v>
      </c>
      <c r="E109" s="355" t="s">
        <v>175</v>
      </c>
      <c r="F109" s="7" t="s">
        <v>51</v>
      </c>
      <c r="G109" s="7" t="s">
        <v>58</v>
      </c>
      <c r="H109" s="7" t="s">
        <v>47</v>
      </c>
      <c r="I109" s="7" t="s">
        <v>74</v>
      </c>
      <c r="J109" s="3" t="s">
        <v>74</v>
      </c>
      <c r="K109" s="3" t="s">
        <v>74</v>
      </c>
      <c r="L109" s="7" t="s">
        <v>113</v>
      </c>
      <c r="M109" s="3" t="s">
        <v>74</v>
      </c>
      <c r="N109" s="3" t="s">
        <v>74</v>
      </c>
      <c r="O109" s="3" t="s">
        <v>74</v>
      </c>
      <c r="P109" s="3" t="s">
        <v>118</v>
      </c>
      <c r="Q109" s="3" t="s">
        <v>74</v>
      </c>
      <c r="R109" s="7" t="s">
        <v>47</v>
      </c>
      <c r="S109" s="7" t="s">
        <v>53</v>
      </c>
      <c r="T109" s="7" t="s">
        <v>53</v>
      </c>
      <c r="U109" s="3" t="s">
        <v>47</v>
      </c>
      <c r="V109" s="4" t="s">
        <v>405</v>
      </c>
      <c r="W109" s="302">
        <f>'Ercan data'!E8</f>
        <v>21.686746987951807</v>
      </c>
      <c r="X109" s="2"/>
      <c r="Y109" s="2"/>
      <c r="Z109" s="2"/>
      <c r="AA109" s="2"/>
      <c r="AB109" s="2"/>
      <c r="AC109" s="2"/>
      <c r="AD109" s="2"/>
      <c r="AE109" s="2"/>
      <c r="AF109" s="2"/>
      <c r="AG109" s="2"/>
    </row>
    <row r="110" spans="1:33" s="34" customFormat="1" ht="47.25" x14ac:dyDescent="0.25">
      <c r="A110" s="2"/>
      <c r="B110" s="6" t="s">
        <v>115</v>
      </c>
      <c r="C110" s="7" t="s">
        <v>116</v>
      </c>
      <c r="D110" s="3">
        <v>1995</v>
      </c>
      <c r="E110" s="355" t="s">
        <v>175</v>
      </c>
      <c r="F110" s="7" t="s">
        <v>51</v>
      </c>
      <c r="G110" s="7" t="s">
        <v>58</v>
      </c>
      <c r="H110" s="7" t="s">
        <v>47</v>
      </c>
      <c r="I110" s="7" t="s">
        <v>74</v>
      </c>
      <c r="J110" s="3" t="s">
        <v>74</v>
      </c>
      <c r="K110" s="3" t="s">
        <v>74</v>
      </c>
      <c r="L110" s="7" t="s">
        <v>113</v>
      </c>
      <c r="M110" s="3" t="s">
        <v>74</v>
      </c>
      <c r="N110" s="3" t="s">
        <v>74</v>
      </c>
      <c r="O110" s="3" t="s">
        <v>74</v>
      </c>
      <c r="P110" s="3" t="s">
        <v>118</v>
      </c>
      <c r="Q110" s="3" t="s">
        <v>74</v>
      </c>
      <c r="R110" s="7" t="s">
        <v>47</v>
      </c>
      <c r="S110" s="7" t="s">
        <v>53</v>
      </c>
      <c r="T110" s="7" t="s">
        <v>53</v>
      </c>
      <c r="U110" s="3" t="s">
        <v>47</v>
      </c>
      <c r="V110" s="4" t="s">
        <v>405</v>
      </c>
      <c r="W110" s="302">
        <f>'Ercan data'!E9</f>
        <v>43.373493975903614</v>
      </c>
      <c r="X110" s="2"/>
      <c r="Y110" s="2"/>
      <c r="Z110" s="2"/>
      <c r="AA110" s="2"/>
      <c r="AB110" s="2"/>
      <c r="AC110" s="2"/>
      <c r="AD110" s="2"/>
      <c r="AE110" s="2"/>
      <c r="AF110" s="2"/>
      <c r="AG110" s="2"/>
    </row>
    <row r="111" spans="1:33" s="34" customFormat="1" ht="23.25" customHeight="1" x14ac:dyDescent="0.25">
      <c r="A111" s="2"/>
      <c r="B111" s="6" t="s">
        <v>115</v>
      </c>
      <c r="C111" s="7" t="s">
        <v>116</v>
      </c>
      <c r="D111" s="3">
        <v>1995</v>
      </c>
      <c r="E111" s="355" t="s">
        <v>175</v>
      </c>
      <c r="F111" s="7" t="s">
        <v>51</v>
      </c>
      <c r="G111" s="7" t="s">
        <v>58</v>
      </c>
      <c r="H111" s="7" t="s">
        <v>47</v>
      </c>
      <c r="I111" s="7" t="s">
        <v>74</v>
      </c>
      <c r="J111" s="3" t="s">
        <v>74</v>
      </c>
      <c r="K111" s="3" t="s">
        <v>74</v>
      </c>
      <c r="L111" s="7" t="s">
        <v>47</v>
      </c>
      <c r="M111" s="3" t="s">
        <v>74</v>
      </c>
      <c r="N111" s="3" t="s">
        <v>74</v>
      </c>
      <c r="O111" s="3" t="s">
        <v>74</v>
      </c>
      <c r="P111" s="3" t="s">
        <v>118</v>
      </c>
      <c r="Q111" s="3" t="s">
        <v>74</v>
      </c>
      <c r="R111" s="7" t="s">
        <v>47</v>
      </c>
      <c r="S111" s="7" t="s">
        <v>53</v>
      </c>
      <c r="T111" s="7" t="s">
        <v>53</v>
      </c>
      <c r="U111" s="3" t="s">
        <v>47</v>
      </c>
      <c r="V111" s="4" t="s">
        <v>406</v>
      </c>
      <c r="W111" s="302">
        <f>'Ercan data'!E10</f>
        <v>32.53012048192771</v>
      </c>
      <c r="X111" s="2"/>
      <c r="Y111" s="2"/>
      <c r="Z111" s="2"/>
      <c r="AA111" s="2"/>
      <c r="AB111" s="2"/>
      <c r="AC111" s="2"/>
      <c r="AD111" s="2"/>
      <c r="AE111" s="2"/>
      <c r="AF111" s="2"/>
      <c r="AG111" s="2"/>
    </row>
    <row r="112" spans="1:33" s="34" customFormat="1" ht="31.5" x14ac:dyDescent="0.25">
      <c r="A112" s="2"/>
      <c r="B112" s="2" t="s">
        <v>407</v>
      </c>
      <c r="C112" s="21" t="s">
        <v>178</v>
      </c>
      <c r="D112" s="21">
        <v>2006</v>
      </c>
      <c r="E112" s="81" t="s">
        <v>408</v>
      </c>
      <c r="F112" s="7" t="s">
        <v>51</v>
      </c>
      <c r="G112" s="3" t="s">
        <v>58</v>
      </c>
      <c r="H112" s="3" t="s">
        <v>47</v>
      </c>
      <c r="I112" s="3" t="s">
        <v>74</v>
      </c>
      <c r="J112" s="3" t="s">
        <v>74</v>
      </c>
      <c r="K112" s="3" t="s">
        <v>74</v>
      </c>
      <c r="L112" s="3" t="s">
        <v>74</v>
      </c>
      <c r="M112" s="3" t="s">
        <v>74</v>
      </c>
      <c r="N112" s="3" t="s">
        <v>53</v>
      </c>
      <c r="O112" s="7" t="s">
        <v>54</v>
      </c>
      <c r="P112" s="3" t="s">
        <v>55</v>
      </c>
      <c r="Q112" s="3" t="s">
        <v>56</v>
      </c>
      <c r="R112" s="3" t="s">
        <v>47</v>
      </c>
      <c r="S112" s="3" t="s">
        <v>53</v>
      </c>
      <c r="T112" s="3" t="s">
        <v>53</v>
      </c>
      <c r="U112" s="3" t="s">
        <v>47</v>
      </c>
      <c r="V112" s="4" t="s">
        <v>409</v>
      </c>
      <c r="W112" s="302">
        <f>'Deng data'!F6</f>
        <v>18</v>
      </c>
      <c r="X112" s="347"/>
      <c r="Y112" s="2"/>
      <c r="Z112" s="347"/>
      <c r="AA112" s="2"/>
      <c r="AB112" s="2"/>
      <c r="AC112" s="2"/>
      <c r="AD112" s="2"/>
      <c r="AE112" s="2"/>
      <c r="AF112" s="2"/>
      <c r="AG112" s="2"/>
    </row>
    <row r="113" spans="1:33" s="34" customFormat="1" ht="31.5" x14ac:dyDescent="0.25">
      <c r="A113" s="2"/>
      <c r="B113" s="2" t="s">
        <v>407</v>
      </c>
      <c r="C113" s="21" t="s">
        <v>178</v>
      </c>
      <c r="D113" s="21">
        <v>2002</v>
      </c>
      <c r="E113" s="81" t="s">
        <v>410</v>
      </c>
      <c r="F113" s="7" t="s">
        <v>51</v>
      </c>
      <c r="G113" s="3" t="s">
        <v>58</v>
      </c>
      <c r="H113" s="3" t="s">
        <v>47</v>
      </c>
      <c r="I113" s="3" t="s">
        <v>74</v>
      </c>
      <c r="J113" s="3" t="s">
        <v>74</v>
      </c>
      <c r="K113" s="3" t="s">
        <v>74</v>
      </c>
      <c r="L113" s="3" t="s">
        <v>74</v>
      </c>
      <c r="M113" s="3" t="s">
        <v>74</v>
      </c>
      <c r="N113" s="3" t="s">
        <v>53</v>
      </c>
      <c r="O113" s="7" t="s">
        <v>54</v>
      </c>
      <c r="P113" s="3" t="s">
        <v>55</v>
      </c>
      <c r="Q113" s="3" t="s">
        <v>56</v>
      </c>
      <c r="R113" s="3" t="s">
        <v>47</v>
      </c>
      <c r="S113" s="3" t="s">
        <v>53</v>
      </c>
      <c r="T113" s="3" t="s">
        <v>53</v>
      </c>
      <c r="U113" s="3" t="s">
        <v>47</v>
      </c>
      <c r="V113" s="4" t="s">
        <v>409</v>
      </c>
      <c r="W113" s="302">
        <f>'Deng data'!F7</f>
        <v>23</v>
      </c>
      <c r="X113" s="347"/>
      <c r="Y113" s="347"/>
      <c r="Z113" s="347"/>
      <c r="AA113" s="2"/>
      <c r="AB113" s="2"/>
      <c r="AC113" s="2"/>
      <c r="AD113" s="2"/>
      <c r="AE113" s="2"/>
      <c r="AF113" s="2"/>
      <c r="AG113" s="2"/>
    </row>
    <row r="114" spans="1:33" s="34" customFormat="1" ht="31.5" x14ac:dyDescent="0.25">
      <c r="A114" s="2"/>
      <c r="B114" s="2" t="s">
        <v>407</v>
      </c>
      <c r="C114" s="21" t="s">
        <v>178</v>
      </c>
      <c r="D114" s="21">
        <v>1999</v>
      </c>
      <c r="E114" s="81" t="s">
        <v>411</v>
      </c>
      <c r="F114" s="7" t="s">
        <v>51</v>
      </c>
      <c r="G114" s="3" t="s">
        <v>58</v>
      </c>
      <c r="H114" s="3" t="s">
        <v>47</v>
      </c>
      <c r="I114" s="3" t="s">
        <v>74</v>
      </c>
      <c r="J114" s="3" t="s">
        <v>74</v>
      </c>
      <c r="K114" s="3" t="s">
        <v>74</v>
      </c>
      <c r="L114" s="3" t="s">
        <v>74</v>
      </c>
      <c r="M114" s="3" t="s">
        <v>74</v>
      </c>
      <c r="N114" s="3" t="s">
        <v>53</v>
      </c>
      <c r="O114" s="7" t="s">
        <v>64</v>
      </c>
      <c r="P114" s="3" t="s">
        <v>55</v>
      </c>
      <c r="Q114" s="3" t="s">
        <v>56</v>
      </c>
      <c r="R114" s="3" t="s">
        <v>47</v>
      </c>
      <c r="S114" s="3" t="s">
        <v>53</v>
      </c>
      <c r="T114" s="3" t="s">
        <v>53</v>
      </c>
      <c r="U114" s="3" t="s">
        <v>47</v>
      </c>
      <c r="V114" s="4" t="s">
        <v>409</v>
      </c>
      <c r="W114" s="302">
        <f>'Deng data'!F8</f>
        <v>14</v>
      </c>
      <c r="X114" s="347"/>
      <c r="Y114" s="347"/>
      <c r="Z114" s="347"/>
      <c r="AA114" s="2"/>
      <c r="AB114" s="2"/>
      <c r="AC114" s="2"/>
      <c r="AD114" s="2"/>
      <c r="AE114" s="2"/>
      <c r="AF114" s="2"/>
      <c r="AG114" s="2"/>
    </row>
    <row r="115" spans="1:33" s="34" customFormat="1" ht="31.5" x14ac:dyDescent="0.25">
      <c r="A115" s="2"/>
      <c r="B115" s="2" t="s">
        <v>407</v>
      </c>
      <c r="C115" s="21" t="s">
        <v>178</v>
      </c>
      <c r="D115" s="21">
        <v>2005</v>
      </c>
      <c r="E115" s="81" t="s">
        <v>412</v>
      </c>
      <c r="F115" s="7" t="s">
        <v>51</v>
      </c>
      <c r="G115" s="3" t="s">
        <v>58</v>
      </c>
      <c r="H115" s="3" t="s">
        <v>47</v>
      </c>
      <c r="I115" s="3" t="s">
        <v>74</v>
      </c>
      <c r="J115" s="3" t="s">
        <v>74</v>
      </c>
      <c r="K115" s="3" t="s">
        <v>74</v>
      </c>
      <c r="L115" s="3" t="s">
        <v>74</v>
      </c>
      <c r="M115" s="3" t="s">
        <v>74</v>
      </c>
      <c r="N115" s="3" t="s">
        <v>53</v>
      </c>
      <c r="O115" s="7" t="s">
        <v>64</v>
      </c>
      <c r="P115" s="3" t="s">
        <v>55</v>
      </c>
      <c r="Q115" s="3" t="s">
        <v>56</v>
      </c>
      <c r="R115" s="3" t="s">
        <v>47</v>
      </c>
      <c r="S115" s="3" t="s">
        <v>53</v>
      </c>
      <c r="T115" s="3" t="s">
        <v>53</v>
      </c>
      <c r="U115" s="3" t="s">
        <v>47</v>
      </c>
      <c r="V115" s="4" t="s">
        <v>409</v>
      </c>
      <c r="W115" s="302">
        <f>'Deng data'!F9</f>
        <v>15</v>
      </c>
      <c r="X115" s="347"/>
      <c r="Y115" s="347"/>
      <c r="Z115" s="347"/>
      <c r="AA115" s="2"/>
      <c r="AB115" s="2"/>
      <c r="AC115" s="2"/>
      <c r="AD115" s="2"/>
      <c r="AE115" s="2"/>
      <c r="AF115" s="2"/>
      <c r="AG115" s="2"/>
    </row>
    <row r="116" spans="1:33" s="34" customFormat="1" ht="31.5" x14ac:dyDescent="0.25">
      <c r="A116" s="2"/>
      <c r="B116" s="6" t="s">
        <v>218</v>
      </c>
      <c r="C116" s="91" t="s">
        <v>219</v>
      </c>
      <c r="D116" s="3">
        <v>2002</v>
      </c>
      <c r="E116" s="81" t="s">
        <v>220</v>
      </c>
      <c r="F116" s="91" t="s">
        <v>45</v>
      </c>
      <c r="G116" s="7" t="s">
        <v>52</v>
      </c>
      <c r="H116" s="7" t="s">
        <v>47</v>
      </c>
      <c r="I116" s="7" t="s">
        <v>47</v>
      </c>
      <c r="J116" s="7" t="s">
        <v>74</v>
      </c>
      <c r="K116" s="7">
        <v>200</v>
      </c>
      <c r="L116" s="7" t="s">
        <v>47</v>
      </c>
      <c r="M116" s="7" t="s">
        <v>74</v>
      </c>
      <c r="N116" s="7" t="s">
        <v>47</v>
      </c>
      <c r="O116" s="7" t="s">
        <v>337</v>
      </c>
      <c r="P116" s="7" t="s">
        <v>173</v>
      </c>
      <c r="Q116" s="7" t="s">
        <v>50</v>
      </c>
      <c r="R116" s="7" t="s">
        <v>53</v>
      </c>
      <c r="S116" s="7" t="s">
        <v>47</v>
      </c>
      <c r="T116" s="7" t="s">
        <v>47</v>
      </c>
      <c r="U116" s="7" t="s">
        <v>47</v>
      </c>
      <c r="V116" s="5" t="s">
        <v>413</v>
      </c>
      <c r="W116" s="302">
        <f>'Williams data'!E6</f>
        <v>25.668749999999999</v>
      </c>
      <c r="X116" s="2"/>
      <c r="Y116" s="2"/>
      <c r="Z116" s="37"/>
      <c r="AA116" s="71"/>
      <c r="AB116" s="71"/>
      <c r="AD116" s="35"/>
      <c r="AE116" s="7"/>
      <c r="AF116" s="7"/>
      <c r="AG116" s="40"/>
    </row>
    <row r="117" spans="1:33" s="34" customFormat="1" ht="31.5" x14ac:dyDescent="0.25">
      <c r="A117" s="2"/>
      <c r="B117" s="6" t="s">
        <v>218</v>
      </c>
      <c r="C117" s="91" t="s">
        <v>219</v>
      </c>
      <c r="D117" s="3">
        <v>1999</v>
      </c>
      <c r="E117" s="81" t="s">
        <v>220</v>
      </c>
      <c r="F117" s="7" t="s">
        <v>51</v>
      </c>
      <c r="G117" s="7" t="s">
        <v>58</v>
      </c>
      <c r="H117" s="7" t="s">
        <v>47</v>
      </c>
      <c r="I117" s="7" t="s">
        <v>74</v>
      </c>
      <c r="J117" s="7" t="s">
        <v>74</v>
      </c>
      <c r="K117" s="7">
        <v>150</v>
      </c>
      <c r="L117" s="7" t="s">
        <v>74</v>
      </c>
      <c r="M117" s="7" t="s">
        <v>74</v>
      </c>
      <c r="N117" s="7" t="s">
        <v>53</v>
      </c>
      <c r="O117" s="7" t="s">
        <v>54</v>
      </c>
      <c r="P117" s="7" t="s">
        <v>55</v>
      </c>
      <c r="Q117" s="7" t="s">
        <v>56</v>
      </c>
      <c r="R117" s="7" t="s">
        <v>47</v>
      </c>
      <c r="S117" s="7" t="s">
        <v>53</v>
      </c>
      <c r="T117" s="7" t="s">
        <v>53</v>
      </c>
      <c r="U117" s="7" t="s">
        <v>47</v>
      </c>
      <c r="V117" s="5"/>
      <c r="W117" s="302">
        <f>'Williams data'!E7</f>
        <v>16.481927710843372</v>
      </c>
      <c r="X117" s="2"/>
      <c r="Y117" s="2"/>
      <c r="Z117" s="37"/>
      <c r="AA117" s="71"/>
      <c r="AB117" s="71"/>
      <c r="AD117" s="35"/>
      <c r="AE117" s="7"/>
      <c r="AF117" s="7"/>
      <c r="AG117" s="40"/>
    </row>
    <row r="118" spans="1:33" s="34" customFormat="1" ht="31.5" x14ac:dyDescent="0.25">
      <c r="A118" s="2"/>
      <c r="B118" s="6" t="s">
        <v>218</v>
      </c>
      <c r="C118" s="91" t="s">
        <v>219</v>
      </c>
      <c r="D118" s="3">
        <v>1997</v>
      </c>
      <c r="E118" s="81" t="s">
        <v>220</v>
      </c>
      <c r="F118" s="7" t="s">
        <v>51</v>
      </c>
      <c r="G118" s="7" t="s">
        <v>58</v>
      </c>
      <c r="H118" s="7" t="s">
        <v>47</v>
      </c>
      <c r="I118" s="7" t="s">
        <v>74</v>
      </c>
      <c r="J118" s="7" t="s">
        <v>74</v>
      </c>
      <c r="K118" s="7">
        <v>150</v>
      </c>
      <c r="L118" s="7" t="s">
        <v>74</v>
      </c>
      <c r="M118" s="7" t="s">
        <v>74</v>
      </c>
      <c r="N118" s="7" t="s">
        <v>53</v>
      </c>
      <c r="O118" s="7" t="s">
        <v>64</v>
      </c>
      <c r="P118" s="7" t="s">
        <v>55</v>
      </c>
      <c r="Q118" s="7" t="s">
        <v>56</v>
      </c>
      <c r="R118" s="7" t="s">
        <v>47</v>
      </c>
      <c r="S118" s="7" t="s">
        <v>53</v>
      </c>
      <c r="T118" s="7" t="s">
        <v>53</v>
      </c>
      <c r="U118" s="7" t="s">
        <v>47</v>
      </c>
      <c r="V118" s="5"/>
      <c r="W118" s="302">
        <f>'Williams data'!E8</f>
        <v>15.6144578313253</v>
      </c>
      <c r="X118" s="2"/>
      <c r="Y118" s="2"/>
      <c r="Z118" s="37"/>
      <c r="AA118" s="71"/>
      <c r="AB118" s="71"/>
      <c r="AD118" s="35"/>
      <c r="AE118" s="7"/>
      <c r="AF118" s="7"/>
      <c r="AG118" s="40"/>
    </row>
    <row r="119" spans="1:33" s="34" customFormat="1" ht="31.5" x14ac:dyDescent="0.25">
      <c r="A119" s="2"/>
      <c r="B119" s="6" t="s">
        <v>218</v>
      </c>
      <c r="C119" s="91" t="s">
        <v>219</v>
      </c>
      <c r="D119" s="3">
        <v>1997</v>
      </c>
      <c r="E119" s="81" t="s">
        <v>220</v>
      </c>
      <c r="F119" s="7" t="s">
        <v>51</v>
      </c>
      <c r="G119" s="7" t="s">
        <v>58</v>
      </c>
      <c r="H119" s="7" t="s">
        <v>47</v>
      </c>
      <c r="I119" s="7" t="s">
        <v>74</v>
      </c>
      <c r="J119" s="7" t="s">
        <v>74</v>
      </c>
      <c r="K119" s="7">
        <v>150</v>
      </c>
      <c r="L119" s="7" t="s">
        <v>74</v>
      </c>
      <c r="M119" s="7" t="s">
        <v>74</v>
      </c>
      <c r="N119" s="7" t="s">
        <v>53</v>
      </c>
      <c r="O119" s="7" t="s">
        <v>64</v>
      </c>
      <c r="P119" s="7" t="s">
        <v>55</v>
      </c>
      <c r="Q119" s="7" t="s">
        <v>56</v>
      </c>
      <c r="R119" s="7" t="s">
        <v>47</v>
      </c>
      <c r="S119" s="7" t="s">
        <v>53</v>
      </c>
      <c r="T119" s="7" t="s">
        <v>53</v>
      </c>
      <c r="U119" s="7" t="s">
        <v>47</v>
      </c>
      <c r="V119" s="5"/>
      <c r="W119" s="302">
        <f>'Williams data'!E9</f>
        <v>17.349397590361448</v>
      </c>
      <c r="X119" s="2"/>
      <c r="Y119" s="2"/>
      <c r="Z119" s="37"/>
      <c r="AA119" s="71"/>
      <c r="AB119" s="71"/>
      <c r="AD119" s="35"/>
      <c r="AE119" s="7"/>
      <c r="AF119" s="7"/>
      <c r="AG119" s="40"/>
    </row>
    <row r="120" spans="1:33" s="34" customFormat="1" ht="47.25" x14ac:dyDescent="0.25">
      <c r="A120" s="2"/>
      <c r="B120" s="2" t="s">
        <v>414</v>
      </c>
      <c r="C120" s="3" t="s">
        <v>415</v>
      </c>
      <c r="D120" s="3">
        <v>2008</v>
      </c>
      <c r="E120" s="357" t="s">
        <v>416</v>
      </c>
      <c r="F120" s="21" t="s">
        <v>45</v>
      </c>
      <c r="G120" s="3" t="s">
        <v>46</v>
      </c>
      <c r="H120" s="3" t="s">
        <v>47</v>
      </c>
      <c r="I120" s="3" t="s">
        <v>53</v>
      </c>
      <c r="J120" s="3">
        <v>130</v>
      </c>
      <c r="K120" s="3">
        <v>300</v>
      </c>
      <c r="L120" s="3" t="s">
        <v>47</v>
      </c>
      <c r="M120" s="3" t="s">
        <v>47</v>
      </c>
      <c r="N120" s="3" t="s">
        <v>47</v>
      </c>
      <c r="O120" s="3" t="s">
        <v>54</v>
      </c>
      <c r="P120" s="3" t="s">
        <v>55</v>
      </c>
      <c r="Q120" s="7" t="s">
        <v>61</v>
      </c>
      <c r="R120" s="3" t="s">
        <v>47</v>
      </c>
      <c r="S120" s="3" t="s">
        <v>53</v>
      </c>
      <c r="T120" s="3" t="s">
        <v>47</v>
      </c>
      <c r="U120" s="3" t="s">
        <v>47</v>
      </c>
      <c r="V120" s="4"/>
      <c r="W120" s="306">
        <f>'Krishnan data'!C22</f>
        <v>26.831216137798691</v>
      </c>
    </row>
    <row r="121" spans="1:33" s="34" customFormat="1" ht="47.25" x14ac:dyDescent="0.25">
      <c r="A121" s="2"/>
      <c r="B121" s="6" t="s">
        <v>177</v>
      </c>
      <c r="C121" s="3" t="s">
        <v>178</v>
      </c>
      <c r="D121" s="3">
        <f>'Deng data'!K8</f>
        <v>2005</v>
      </c>
      <c r="E121" s="357" t="s">
        <v>417</v>
      </c>
      <c r="F121" s="21" t="s">
        <v>51</v>
      </c>
      <c r="G121" s="3" t="s">
        <v>46</v>
      </c>
      <c r="H121" s="3" t="s">
        <v>47</v>
      </c>
      <c r="I121" s="3" t="s">
        <v>53</v>
      </c>
      <c r="J121" s="3" t="s">
        <v>74</v>
      </c>
      <c r="K121" s="3" t="s">
        <v>74</v>
      </c>
      <c r="L121" s="3" t="s">
        <v>103</v>
      </c>
      <c r="M121" s="3" t="s">
        <v>74</v>
      </c>
      <c r="N121" s="3" t="s">
        <v>53</v>
      </c>
      <c r="O121" s="3" t="s">
        <v>54</v>
      </c>
      <c r="P121" s="3" t="s">
        <v>55</v>
      </c>
      <c r="Q121" s="7" t="s">
        <v>56</v>
      </c>
      <c r="R121" s="3" t="s">
        <v>47</v>
      </c>
      <c r="S121" s="3" t="s">
        <v>53</v>
      </c>
      <c r="T121" s="3" t="s">
        <v>53</v>
      </c>
      <c r="U121" s="3" t="s">
        <v>47</v>
      </c>
      <c r="V121" s="4" t="s">
        <v>418</v>
      </c>
      <c r="W121" s="305">
        <f>'Deng data'!N8</f>
        <v>15.831325301204821</v>
      </c>
    </row>
    <row r="122" spans="1:33" s="34" customFormat="1" ht="47.25" x14ac:dyDescent="0.25">
      <c r="A122" s="2"/>
      <c r="B122" s="6" t="s">
        <v>177</v>
      </c>
      <c r="C122" s="3" t="s">
        <v>178</v>
      </c>
      <c r="D122" s="3">
        <f>'Deng data'!K9</f>
        <v>2004</v>
      </c>
      <c r="E122" s="357" t="s">
        <v>419</v>
      </c>
      <c r="F122" s="21" t="s">
        <v>51</v>
      </c>
      <c r="G122" s="3" t="s">
        <v>46</v>
      </c>
      <c r="H122" s="3" t="s">
        <v>47</v>
      </c>
      <c r="I122" s="3" t="s">
        <v>53</v>
      </c>
      <c r="J122" s="3" t="s">
        <v>74</v>
      </c>
      <c r="K122" s="3" t="s">
        <v>74</v>
      </c>
      <c r="L122" s="3" t="s">
        <v>103</v>
      </c>
      <c r="M122" s="3" t="s">
        <v>74</v>
      </c>
      <c r="N122" s="3" t="s">
        <v>53</v>
      </c>
      <c r="O122" s="3" t="s">
        <v>54</v>
      </c>
      <c r="P122" s="3" t="s">
        <v>55</v>
      </c>
      <c r="Q122" s="7" t="s">
        <v>56</v>
      </c>
      <c r="R122" s="3" t="s">
        <v>47</v>
      </c>
      <c r="S122" s="3" t="s">
        <v>53</v>
      </c>
      <c r="T122" s="3" t="s">
        <v>53</v>
      </c>
      <c r="U122" s="3" t="s">
        <v>47</v>
      </c>
      <c r="V122" s="4" t="s">
        <v>418</v>
      </c>
      <c r="W122" s="305">
        <f>'Deng data'!N9</f>
        <v>15.397590361445783</v>
      </c>
    </row>
    <row r="123" spans="1:33" s="34" customFormat="1" ht="47.25" x14ac:dyDescent="0.25">
      <c r="A123" s="2"/>
      <c r="B123" s="6" t="s">
        <v>177</v>
      </c>
      <c r="C123" s="3" t="s">
        <v>178</v>
      </c>
      <c r="D123" s="3">
        <f>'Deng data'!K10</f>
        <v>2003</v>
      </c>
      <c r="E123" s="357" t="s">
        <v>420</v>
      </c>
      <c r="F123" s="21" t="s">
        <v>51</v>
      </c>
      <c r="G123" s="3" t="s">
        <v>46</v>
      </c>
      <c r="H123" s="3" t="s">
        <v>47</v>
      </c>
      <c r="I123" s="3" t="s">
        <v>53</v>
      </c>
      <c r="J123" s="3" t="s">
        <v>74</v>
      </c>
      <c r="K123" s="3" t="s">
        <v>74</v>
      </c>
      <c r="L123" s="3" t="s">
        <v>103</v>
      </c>
      <c r="M123" s="3" t="s">
        <v>74</v>
      </c>
      <c r="N123" s="3" t="s">
        <v>53</v>
      </c>
      <c r="O123" s="3" t="s">
        <v>54</v>
      </c>
      <c r="P123" s="3" t="s">
        <v>55</v>
      </c>
      <c r="Q123" s="7" t="s">
        <v>56</v>
      </c>
      <c r="R123" s="3" t="s">
        <v>47</v>
      </c>
      <c r="S123" s="3" t="s">
        <v>53</v>
      </c>
      <c r="T123" s="3" t="s">
        <v>53</v>
      </c>
      <c r="U123" s="3" t="s">
        <v>47</v>
      </c>
      <c r="V123" s="4" t="s">
        <v>418</v>
      </c>
      <c r="W123" s="305">
        <f>'Deng data'!N10</f>
        <v>19.409638554216869</v>
      </c>
    </row>
    <row r="124" spans="1:33" s="34" customFormat="1" ht="47.25" x14ac:dyDescent="0.25">
      <c r="A124" s="2"/>
      <c r="B124" s="6" t="s">
        <v>177</v>
      </c>
      <c r="C124" s="3" t="s">
        <v>178</v>
      </c>
      <c r="D124" s="3">
        <f>'Deng data'!K11</f>
        <v>2002</v>
      </c>
      <c r="E124" s="357" t="s">
        <v>421</v>
      </c>
      <c r="F124" s="21" t="s">
        <v>51</v>
      </c>
      <c r="G124" s="3" t="s">
        <v>46</v>
      </c>
      <c r="H124" s="3" t="s">
        <v>47</v>
      </c>
      <c r="I124" s="3" t="s">
        <v>53</v>
      </c>
      <c r="J124" s="3" t="s">
        <v>74</v>
      </c>
      <c r="K124" s="3" t="s">
        <v>74</v>
      </c>
      <c r="L124" s="3" t="s">
        <v>103</v>
      </c>
      <c r="M124" s="3" t="s">
        <v>74</v>
      </c>
      <c r="N124" s="3" t="s">
        <v>53</v>
      </c>
      <c r="O124" s="3" t="s">
        <v>54</v>
      </c>
      <c r="P124" s="3" t="s">
        <v>55</v>
      </c>
      <c r="Q124" s="7" t="s">
        <v>56</v>
      </c>
      <c r="R124" s="3" t="s">
        <v>47</v>
      </c>
      <c r="S124" s="3" t="s">
        <v>53</v>
      </c>
      <c r="T124" s="3" t="s">
        <v>53</v>
      </c>
      <c r="U124" s="3" t="s">
        <v>47</v>
      </c>
      <c r="V124" s="4" t="s">
        <v>418</v>
      </c>
      <c r="W124" s="305">
        <f>'Deng data'!N11</f>
        <v>19.843373493975907</v>
      </c>
    </row>
    <row r="125" spans="1:33" s="34" customFormat="1" ht="47.25" x14ac:dyDescent="0.25">
      <c r="A125" s="2"/>
      <c r="B125" s="6" t="s">
        <v>177</v>
      </c>
      <c r="C125" s="3" t="s">
        <v>178</v>
      </c>
      <c r="D125" s="3">
        <f>'Deng data'!K12</f>
        <v>2001</v>
      </c>
      <c r="E125" s="357" t="s">
        <v>422</v>
      </c>
      <c r="F125" s="21" t="s">
        <v>51</v>
      </c>
      <c r="G125" s="3" t="s">
        <v>46</v>
      </c>
      <c r="H125" s="3" t="s">
        <v>47</v>
      </c>
      <c r="I125" s="3" t="s">
        <v>53</v>
      </c>
      <c r="J125" s="3" t="s">
        <v>74</v>
      </c>
      <c r="K125" s="3" t="s">
        <v>74</v>
      </c>
      <c r="L125" s="3" t="s">
        <v>103</v>
      </c>
      <c r="M125" s="3" t="s">
        <v>74</v>
      </c>
      <c r="N125" s="3" t="s">
        <v>53</v>
      </c>
      <c r="O125" s="3" t="s">
        <v>54</v>
      </c>
      <c r="P125" s="3" t="s">
        <v>55</v>
      </c>
      <c r="Q125" s="7" t="s">
        <v>56</v>
      </c>
      <c r="R125" s="3" t="s">
        <v>47</v>
      </c>
      <c r="S125" s="3" t="s">
        <v>53</v>
      </c>
      <c r="T125" s="3" t="s">
        <v>53</v>
      </c>
      <c r="U125" s="3" t="s">
        <v>47</v>
      </c>
      <c r="V125" s="4" t="s">
        <v>418</v>
      </c>
      <c r="W125" s="305">
        <f>'Deng data'!N12</f>
        <v>18.759036144578314</v>
      </c>
    </row>
    <row r="126" spans="1:33" s="34" customFormat="1" ht="47.25" x14ac:dyDescent="0.25">
      <c r="A126" s="2"/>
      <c r="B126" s="6" t="s">
        <v>177</v>
      </c>
      <c r="C126" s="3" t="s">
        <v>178</v>
      </c>
      <c r="D126" s="3">
        <f>'Deng data'!K13</f>
        <v>2000</v>
      </c>
      <c r="E126" s="357" t="s">
        <v>423</v>
      </c>
      <c r="F126" s="21" t="s">
        <v>51</v>
      </c>
      <c r="G126" s="3" t="s">
        <v>46</v>
      </c>
      <c r="H126" s="3" t="s">
        <v>47</v>
      </c>
      <c r="I126" s="3" t="s">
        <v>53</v>
      </c>
      <c r="J126" s="3" t="s">
        <v>74</v>
      </c>
      <c r="K126" s="3" t="s">
        <v>74</v>
      </c>
      <c r="L126" s="3" t="s">
        <v>103</v>
      </c>
      <c r="M126" s="3" t="s">
        <v>74</v>
      </c>
      <c r="N126" s="3" t="s">
        <v>53</v>
      </c>
      <c r="O126" s="3" t="s">
        <v>54</v>
      </c>
      <c r="P126" s="3" t="s">
        <v>55</v>
      </c>
      <c r="Q126" s="7" t="s">
        <v>56</v>
      </c>
      <c r="R126" s="3" t="s">
        <v>47</v>
      </c>
      <c r="S126" s="3" t="s">
        <v>53</v>
      </c>
      <c r="T126" s="3" t="s">
        <v>53</v>
      </c>
      <c r="U126" s="3" t="s">
        <v>47</v>
      </c>
      <c r="V126" s="4" t="s">
        <v>418</v>
      </c>
      <c r="W126" s="305">
        <f>'Deng data'!N13</f>
        <v>13.337349397590362</v>
      </c>
    </row>
    <row r="127" spans="1:33" s="34" customFormat="1" ht="47.25" x14ac:dyDescent="0.25">
      <c r="A127" s="2"/>
      <c r="B127" s="6" t="s">
        <v>177</v>
      </c>
      <c r="C127" s="3" t="s">
        <v>178</v>
      </c>
      <c r="D127" s="3">
        <f>'Deng data'!K14</f>
        <v>1999</v>
      </c>
      <c r="E127" s="357" t="s">
        <v>424</v>
      </c>
      <c r="F127" s="21" t="s">
        <v>51</v>
      </c>
      <c r="G127" s="3" t="s">
        <v>46</v>
      </c>
      <c r="H127" s="3" t="s">
        <v>47</v>
      </c>
      <c r="I127" s="3" t="s">
        <v>53</v>
      </c>
      <c r="J127" s="3" t="s">
        <v>74</v>
      </c>
      <c r="K127" s="3" t="s">
        <v>74</v>
      </c>
      <c r="L127" s="3" t="s">
        <v>103</v>
      </c>
      <c r="M127" s="3" t="s">
        <v>74</v>
      </c>
      <c r="N127" s="3" t="s">
        <v>53</v>
      </c>
      <c r="O127" s="3" t="s">
        <v>54</v>
      </c>
      <c r="P127" s="3" t="s">
        <v>55</v>
      </c>
      <c r="Q127" s="7" t="s">
        <v>56</v>
      </c>
      <c r="R127" s="3" t="s">
        <v>47</v>
      </c>
      <c r="S127" s="3" t="s">
        <v>53</v>
      </c>
      <c r="T127" s="3" t="s">
        <v>53</v>
      </c>
      <c r="U127" s="3" t="s">
        <v>47</v>
      </c>
      <c r="V127" s="4" t="s">
        <v>418</v>
      </c>
      <c r="W127" s="305">
        <f>'Deng data'!N14</f>
        <v>15.722891566265062</v>
      </c>
    </row>
    <row r="128" spans="1:33" s="34" customFormat="1" ht="47.25" x14ac:dyDescent="0.25">
      <c r="A128" s="2"/>
      <c r="B128" s="6" t="s">
        <v>177</v>
      </c>
      <c r="C128" s="3" t="s">
        <v>178</v>
      </c>
      <c r="D128" s="3">
        <f>'Deng data'!K15</f>
        <v>1998</v>
      </c>
      <c r="E128" s="357" t="s">
        <v>425</v>
      </c>
      <c r="F128" s="21" t="s">
        <v>51</v>
      </c>
      <c r="G128" s="3" t="s">
        <v>46</v>
      </c>
      <c r="H128" s="3" t="s">
        <v>47</v>
      </c>
      <c r="I128" s="3" t="s">
        <v>53</v>
      </c>
      <c r="J128" s="3" t="s">
        <v>74</v>
      </c>
      <c r="K128" s="3" t="s">
        <v>74</v>
      </c>
      <c r="L128" s="3" t="s">
        <v>103</v>
      </c>
      <c r="M128" s="3" t="s">
        <v>74</v>
      </c>
      <c r="N128" s="3" t="s">
        <v>53</v>
      </c>
      <c r="O128" s="3" t="s">
        <v>54</v>
      </c>
      <c r="P128" s="3" t="s">
        <v>55</v>
      </c>
      <c r="Q128" s="7" t="s">
        <v>56</v>
      </c>
      <c r="R128" s="3" t="s">
        <v>47</v>
      </c>
      <c r="S128" s="3" t="s">
        <v>53</v>
      </c>
      <c r="T128" s="3" t="s">
        <v>53</v>
      </c>
      <c r="U128" s="3" t="s">
        <v>47</v>
      </c>
      <c r="V128" s="4" t="s">
        <v>418</v>
      </c>
      <c r="W128" s="305">
        <f>'Deng data'!N15</f>
        <v>18.433734939759038</v>
      </c>
    </row>
    <row r="129" spans="1:24" s="34" customFormat="1" ht="47.25" x14ac:dyDescent="0.25">
      <c r="A129" s="2"/>
      <c r="B129" s="6" t="s">
        <v>177</v>
      </c>
      <c r="C129" s="3" t="s">
        <v>178</v>
      </c>
      <c r="D129" s="3">
        <f>'Deng data'!K16</f>
        <v>1997</v>
      </c>
      <c r="E129" s="357" t="s">
        <v>426</v>
      </c>
      <c r="F129" s="21" t="s">
        <v>51</v>
      </c>
      <c r="G129" s="3" t="s">
        <v>46</v>
      </c>
      <c r="H129" s="3" t="s">
        <v>47</v>
      </c>
      <c r="I129" s="3" t="s">
        <v>53</v>
      </c>
      <c r="J129" s="3" t="s">
        <v>74</v>
      </c>
      <c r="K129" s="3" t="s">
        <v>74</v>
      </c>
      <c r="L129" s="3" t="s">
        <v>103</v>
      </c>
      <c r="M129" s="3" t="s">
        <v>74</v>
      </c>
      <c r="N129" s="3" t="s">
        <v>53</v>
      </c>
      <c r="O129" s="3" t="s">
        <v>54</v>
      </c>
      <c r="P129" s="3" t="s">
        <v>55</v>
      </c>
      <c r="Q129" s="7" t="s">
        <v>56</v>
      </c>
      <c r="R129" s="3" t="s">
        <v>47</v>
      </c>
      <c r="S129" s="3" t="s">
        <v>53</v>
      </c>
      <c r="T129" s="3" t="s">
        <v>53</v>
      </c>
      <c r="U129" s="3" t="s">
        <v>47</v>
      </c>
      <c r="V129" s="4" t="s">
        <v>418</v>
      </c>
      <c r="W129" s="305">
        <f>'Deng data'!N16</f>
        <v>18.108433734939759</v>
      </c>
    </row>
    <row r="130" spans="1:24" s="34" customFormat="1" ht="47.25" x14ac:dyDescent="0.25">
      <c r="A130" s="2"/>
      <c r="B130" s="6" t="s">
        <v>177</v>
      </c>
      <c r="C130" s="3" t="s">
        <v>178</v>
      </c>
      <c r="D130" s="3">
        <f>'Deng data'!K17</f>
        <v>1996</v>
      </c>
      <c r="E130" s="357" t="s">
        <v>427</v>
      </c>
      <c r="F130" s="21" t="s">
        <v>51</v>
      </c>
      <c r="G130" s="3" t="s">
        <v>46</v>
      </c>
      <c r="H130" s="3" t="s">
        <v>47</v>
      </c>
      <c r="I130" s="3" t="s">
        <v>53</v>
      </c>
      <c r="J130" s="3" t="s">
        <v>74</v>
      </c>
      <c r="K130" s="3" t="s">
        <v>74</v>
      </c>
      <c r="L130" s="3" t="s">
        <v>103</v>
      </c>
      <c r="M130" s="3" t="s">
        <v>74</v>
      </c>
      <c r="N130" s="3" t="s">
        <v>53</v>
      </c>
      <c r="O130" s="3" t="s">
        <v>54</v>
      </c>
      <c r="P130" s="3" t="s">
        <v>55</v>
      </c>
      <c r="Q130" s="7" t="s">
        <v>56</v>
      </c>
      <c r="R130" s="3" t="s">
        <v>47</v>
      </c>
      <c r="S130" s="3" t="s">
        <v>53</v>
      </c>
      <c r="T130" s="3" t="s">
        <v>53</v>
      </c>
      <c r="U130" s="3" t="s">
        <v>47</v>
      </c>
      <c r="V130" s="4" t="s">
        <v>418</v>
      </c>
      <c r="W130" s="305">
        <f>'Deng data'!N17</f>
        <v>15.831325301204821</v>
      </c>
    </row>
    <row r="131" spans="1:24" s="34" customFormat="1" ht="47.25" x14ac:dyDescent="0.25">
      <c r="A131" s="2"/>
      <c r="B131" s="6" t="s">
        <v>177</v>
      </c>
      <c r="C131" s="3" t="s">
        <v>178</v>
      </c>
      <c r="D131" s="3">
        <f>'Deng data'!K18</f>
        <v>1995</v>
      </c>
      <c r="E131" s="357" t="s">
        <v>428</v>
      </c>
      <c r="F131" s="21" t="s">
        <v>51</v>
      </c>
      <c r="G131" s="3" t="s">
        <v>46</v>
      </c>
      <c r="H131" s="3" t="s">
        <v>47</v>
      </c>
      <c r="I131" s="3" t="s">
        <v>53</v>
      </c>
      <c r="J131" s="3" t="s">
        <v>74</v>
      </c>
      <c r="K131" s="3" t="s">
        <v>74</v>
      </c>
      <c r="L131" s="3" t="s">
        <v>103</v>
      </c>
      <c r="M131" s="3" t="s">
        <v>74</v>
      </c>
      <c r="N131" s="3" t="s">
        <v>53</v>
      </c>
      <c r="O131" s="3" t="s">
        <v>54</v>
      </c>
      <c r="P131" s="3" t="s">
        <v>55</v>
      </c>
      <c r="Q131" s="7" t="s">
        <v>56</v>
      </c>
      <c r="R131" s="3" t="s">
        <v>47</v>
      </c>
      <c r="S131" s="3" t="s">
        <v>53</v>
      </c>
      <c r="T131" s="3" t="s">
        <v>53</v>
      </c>
      <c r="U131" s="3" t="s">
        <v>47</v>
      </c>
      <c r="V131" s="4" t="s">
        <v>418</v>
      </c>
      <c r="W131" s="305">
        <f>'Deng data'!N18</f>
        <v>15.722891566265062</v>
      </c>
    </row>
    <row r="132" spans="1:24" s="34" customFormat="1" ht="47.25" x14ac:dyDescent="0.25">
      <c r="A132" s="2"/>
      <c r="B132" s="6" t="s">
        <v>177</v>
      </c>
      <c r="C132" s="3" t="s">
        <v>178</v>
      </c>
      <c r="D132" s="3">
        <f>'Deng data'!K9</f>
        <v>2004</v>
      </c>
      <c r="E132" s="357" t="s">
        <v>428</v>
      </c>
      <c r="F132" s="21" t="s">
        <v>51</v>
      </c>
      <c r="G132" s="3" t="s">
        <v>46</v>
      </c>
      <c r="H132" s="3" t="s">
        <v>47</v>
      </c>
      <c r="I132" s="3" t="s">
        <v>53</v>
      </c>
      <c r="J132" s="3" t="s">
        <v>74</v>
      </c>
      <c r="K132" s="3" t="s">
        <v>74</v>
      </c>
      <c r="L132" s="3" t="s">
        <v>103</v>
      </c>
      <c r="M132" s="3" t="s">
        <v>74</v>
      </c>
      <c r="N132" s="3" t="s">
        <v>53</v>
      </c>
      <c r="O132" s="3" t="s">
        <v>201</v>
      </c>
      <c r="P132" s="3" t="s">
        <v>55</v>
      </c>
      <c r="Q132" s="7" t="s">
        <v>56</v>
      </c>
      <c r="R132" s="3" t="s">
        <v>47</v>
      </c>
      <c r="S132" s="3" t="s">
        <v>53</v>
      </c>
      <c r="T132" s="3" t="s">
        <v>53</v>
      </c>
      <c r="U132" s="3" t="s">
        <v>47</v>
      </c>
      <c r="V132" s="4" t="s">
        <v>429</v>
      </c>
      <c r="W132" s="305">
        <f>'Deng data'!O9</f>
        <v>17.457831325301207</v>
      </c>
      <c r="X132" s="348"/>
    </row>
    <row r="133" spans="1:24" s="34" customFormat="1" ht="47.25" x14ac:dyDescent="0.25">
      <c r="A133" s="2"/>
      <c r="B133" s="6" t="s">
        <v>177</v>
      </c>
      <c r="C133" s="3" t="s">
        <v>178</v>
      </c>
      <c r="D133" s="3">
        <f>'Deng data'!K10</f>
        <v>2003</v>
      </c>
      <c r="E133" s="357" t="s">
        <v>430</v>
      </c>
      <c r="F133" s="21" t="s">
        <v>51</v>
      </c>
      <c r="G133" s="3" t="s">
        <v>46</v>
      </c>
      <c r="H133" s="3" t="s">
        <v>47</v>
      </c>
      <c r="I133" s="3" t="s">
        <v>53</v>
      </c>
      <c r="J133" s="3" t="s">
        <v>74</v>
      </c>
      <c r="K133" s="3" t="s">
        <v>74</v>
      </c>
      <c r="L133" s="3" t="s">
        <v>103</v>
      </c>
      <c r="M133" s="3" t="s">
        <v>74</v>
      </c>
      <c r="N133" s="3" t="s">
        <v>53</v>
      </c>
      <c r="O133" s="3" t="s">
        <v>201</v>
      </c>
      <c r="P133" s="3" t="s">
        <v>55</v>
      </c>
      <c r="Q133" s="7" t="s">
        <v>56</v>
      </c>
      <c r="R133" s="3" t="s">
        <v>47</v>
      </c>
      <c r="S133" s="3" t="s">
        <v>53</v>
      </c>
      <c r="T133" s="3" t="s">
        <v>53</v>
      </c>
      <c r="U133" s="3" t="s">
        <v>47</v>
      </c>
      <c r="V133" s="4" t="s">
        <v>429</v>
      </c>
      <c r="W133" s="305">
        <f>'Deng data'!O10</f>
        <v>15.072289156626507</v>
      </c>
      <c r="X133" s="348"/>
    </row>
    <row r="134" spans="1:24" s="34" customFormat="1" ht="47.25" x14ac:dyDescent="0.25">
      <c r="A134" s="2"/>
      <c r="B134" s="6" t="s">
        <v>177</v>
      </c>
      <c r="C134" s="3" t="s">
        <v>178</v>
      </c>
      <c r="D134" s="3">
        <f>'Deng data'!K11</f>
        <v>2002</v>
      </c>
      <c r="E134" s="357" t="s">
        <v>431</v>
      </c>
      <c r="F134" s="21" t="s">
        <v>51</v>
      </c>
      <c r="G134" s="3" t="s">
        <v>46</v>
      </c>
      <c r="H134" s="3" t="s">
        <v>47</v>
      </c>
      <c r="I134" s="3" t="s">
        <v>53</v>
      </c>
      <c r="J134" s="3" t="s">
        <v>74</v>
      </c>
      <c r="K134" s="3" t="s">
        <v>74</v>
      </c>
      <c r="L134" s="3" t="s">
        <v>103</v>
      </c>
      <c r="M134" s="3" t="s">
        <v>74</v>
      </c>
      <c r="N134" s="3" t="s">
        <v>53</v>
      </c>
      <c r="O134" s="3" t="s">
        <v>201</v>
      </c>
      <c r="P134" s="3" t="s">
        <v>55</v>
      </c>
      <c r="Q134" s="7" t="s">
        <v>56</v>
      </c>
      <c r="R134" s="3" t="s">
        <v>47</v>
      </c>
      <c r="S134" s="3" t="s">
        <v>53</v>
      </c>
      <c r="T134" s="3" t="s">
        <v>53</v>
      </c>
      <c r="U134" s="3" t="s">
        <v>47</v>
      </c>
      <c r="V134" s="4" t="s">
        <v>429</v>
      </c>
      <c r="W134" s="305">
        <f>'Deng data'!O11</f>
        <v>16.481927710843372</v>
      </c>
      <c r="X134" s="348"/>
    </row>
    <row r="135" spans="1:24" s="34" customFormat="1" ht="47.25" x14ac:dyDescent="0.25">
      <c r="A135" s="2"/>
      <c r="B135" s="6" t="s">
        <v>177</v>
      </c>
      <c r="C135" s="3" t="s">
        <v>178</v>
      </c>
      <c r="D135" s="3">
        <f>'Deng data'!K12</f>
        <v>2001</v>
      </c>
      <c r="E135" s="357" t="s">
        <v>432</v>
      </c>
      <c r="F135" s="21" t="s">
        <v>51</v>
      </c>
      <c r="G135" s="3" t="s">
        <v>46</v>
      </c>
      <c r="H135" s="3" t="s">
        <v>47</v>
      </c>
      <c r="I135" s="3" t="s">
        <v>53</v>
      </c>
      <c r="J135" s="3" t="s">
        <v>74</v>
      </c>
      <c r="K135" s="3" t="s">
        <v>74</v>
      </c>
      <c r="L135" s="3" t="s">
        <v>103</v>
      </c>
      <c r="M135" s="3" t="s">
        <v>74</v>
      </c>
      <c r="N135" s="3" t="s">
        <v>53</v>
      </c>
      <c r="O135" s="3" t="s">
        <v>201</v>
      </c>
      <c r="P135" s="3" t="s">
        <v>55</v>
      </c>
      <c r="Q135" s="7" t="s">
        <v>56</v>
      </c>
      <c r="R135" s="3" t="s">
        <v>47</v>
      </c>
      <c r="S135" s="3" t="s">
        <v>53</v>
      </c>
      <c r="T135" s="3" t="s">
        <v>53</v>
      </c>
      <c r="U135" s="3" t="s">
        <v>47</v>
      </c>
      <c r="V135" s="4" t="s">
        <v>429</v>
      </c>
      <c r="W135" s="305">
        <f>'Deng data'!O12</f>
        <v>20.060240963855424</v>
      </c>
      <c r="X135" s="348"/>
    </row>
    <row r="136" spans="1:24" s="34" customFormat="1" ht="47.25" x14ac:dyDescent="0.25">
      <c r="A136" s="2"/>
      <c r="B136" s="6" t="s">
        <v>177</v>
      </c>
      <c r="C136" s="3" t="s">
        <v>178</v>
      </c>
      <c r="D136" s="3">
        <f>'Deng data'!K13</f>
        <v>2000</v>
      </c>
      <c r="E136" s="357" t="s">
        <v>433</v>
      </c>
      <c r="F136" s="21" t="s">
        <v>51</v>
      </c>
      <c r="G136" s="3" t="s">
        <v>46</v>
      </c>
      <c r="H136" s="3" t="s">
        <v>47</v>
      </c>
      <c r="I136" s="3" t="s">
        <v>53</v>
      </c>
      <c r="J136" s="3" t="s">
        <v>74</v>
      </c>
      <c r="K136" s="3" t="s">
        <v>74</v>
      </c>
      <c r="L136" s="3" t="s">
        <v>103</v>
      </c>
      <c r="M136" s="3" t="s">
        <v>74</v>
      </c>
      <c r="N136" s="3" t="s">
        <v>53</v>
      </c>
      <c r="O136" s="3" t="s">
        <v>201</v>
      </c>
      <c r="P136" s="3" t="s">
        <v>55</v>
      </c>
      <c r="Q136" s="7" t="s">
        <v>56</v>
      </c>
      <c r="R136" s="3" t="s">
        <v>47</v>
      </c>
      <c r="S136" s="3" t="s">
        <v>53</v>
      </c>
      <c r="T136" s="3" t="s">
        <v>53</v>
      </c>
      <c r="U136" s="3" t="s">
        <v>47</v>
      </c>
      <c r="V136" s="4" t="s">
        <v>429</v>
      </c>
      <c r="W136" s="305">
        <f>'Deng data'!O13</f>
        <v>20.602409638554221</v>
      </c>
      <c r="X136" s="348"/>
    </row>
    <row r="137" spans="1:24" s="34" customFormat="1" ht="47.25" x14ac:dyDescent="0.25">
      <c r="A137" s="2"/>
      <c r="B137" s="6" t="s">
        <v>177</v>
      </c>
      <c r="C137" s="3" t="s">
        <v>178</v>
      </c>
      <c r="D137" s="3">
        <f>'Deng data'!K14</f>
        <v>1999</v>
      </c>
      <c r="E137" s="357" t="s">
        <v>434</v>
      </c>
      <c r="F137" s="21" t="s">
        <v>51</v>
      </c>
      <c r="G137" s="3" t="s">
        <v>46</v>
      </c>
      <c r="H137" s="3" t="s">
        <v>47</v>
      </c>
      <c r="I137" s="3" t="s">
        <v>53</v>
      </c>
      <c r="J137" s="3" t="s">
        <v>74</v>
      </c>
      <c r="K137" s="3" t="s">
        <v>74</v>
      </c>
      <c r="L137" s="3" t="s">
        <v>103</v>
      </c>
      <c r="M137" s="3" t="s">
        <v>74</v>
      </c>
      <c r="N137" s="3" t="s">
        <v>53</v>
      </c>
      <c r="O137" s="3" t="s">
        <v>201</v>
      </c>
      <c r="P137" s="3" t="s">
        <v>55</v>
      </c>
      <c r="Q137" s="7" t="s">
        <v>56</v>
      </c>
      <c r="R137" s="3" t="s">
        <v>47</v>
      </c>
      <c r="S137" s="3" t="s">
        <v>53</v>
      </c>
      <c r="T137" s="3" t="s">
        <v>53</v>
      </c>
      <c r="U137" s="3" t="s">
        <v>47</v>
      </c>
      <c r="V137" s="4" t="s">
        <v>429</v>
      </c>
      <c r="W137" s="305">
        <f>'Deng data'!O14</f>
        <v>13.012048192771086</v>
      </c>
      <c r="X137" s="348"/>
    </row>
    <row r="138" spans="1:24" s="34" customFormat="1" ht="47.25" x14ac:dyDescent="0.25">
      <c r="A138" s="2"/>
      <c r="B138" s="6" t="s">
        <v>177</v>
      </c>
      <c r="C138" s="3" t="s">
        <v>178</v>
      </c>
      <c r="D138" s="3">
        <f>'Deng data'!K15</f>
        <v>1998</v>
      </c>
      <c r="E138" s="357" t="s">
        <v>435</v>
      </c>
      <c r="F138" s="21" t="s">
        <v>51</v>
      </c>
      <c r="G138" s="3" t="s">
        <v>46</v>
      </c>
      <c r="H138" s="3" t="s">
        <v>47</v>
      </c>
      <c r="I138" s="3" t="s">
        <v>53</v>
      </c>
      <c r="J138" s="3" t="s">
        <v>74</v>
      </c>
      <c r="K138" s="3" t="s">
        <v>74</v>
      </c>
      <c r="L138" s="3" t="s">
        <v>103</v>
      </c>
      <c r="M138" s="3" t="s">
        <v>74</v>
      </c>
      <c r="N138" s="3" t="s">
        <v>53</v>
      </c>
      <c r="O138" s="3" t="s">
        <v>201</v>
      </c>
      <c r="P138" s="3" t="s">
        <v>55</v>
      </c>
      <c r="Q138" s="7" t="s">
        <v>56</v>
      </c>
      <c r="R138" s="3" t="s">
        <v>47</v>
      </c>
      <c r="S138" s="3" t="s">
        <v>53</v>
      </c>
      <c r="T138" s="3" t="s">
        <v>53</v>
      </c>
      <c r="U138" s="3" t="s">
        <v>47</v>
      </c>
      <c r="V138" s="4" t="s">
        <v>429</v>
      </c>
      <c r="W138" s="305">
        <f>'Deng data'!O15</f>
        <v>13.66265060240964</v>
      </c>
      <c r="X138" s="348"/>
    </row>
    <row r="139" spans="1:24" s="34" customFormat="1" ht="47.25" x14ac:dyDescent="0.25">
      <c r="A139" s="2"/>
      <c r="B139" s="6" t="s">
        <v>177</v>
      </c>
      <c r="C139" s="3" t="s">
        <v>178</v>
      </c>
      <c r="D139" s="3">
        <f>'Deng data'!K16</f>
        <v>1997</v>
      </c>
      <c r="E139" s="357" t="s">
        <v>179</v>
      </c>
      <c r="F139" s="21" t="s">
        <v>51</v>
      </c>
      <c r="G139" s="3" t="s">
        <v>46</v>
      </c>
      <c r="H139" s="3" t="s">
        <v>47</v>
      </c>
      <c r="I139" s="3" t="s">
        <v>53</v>
      </c>
      <c r="J139" s="3" t="s">
        <v>74</v>
      </c>
      <c r="K139" s="3" t="s">
        <v>74</v>
      </c>
      <c r="L139" s="3" t="s">
        <v>103</v>
      </c>
      <c r="M139" s="3" t="s">
        <v>74</v>
      </c>
      <c r="N139" s="3" t="s">
        <v>53</v>
      </c>
      <c r="O139" s="3" t="s">
        <v>201</v>
      </c>
      <c r="P139" s="3" t="s">
        <v>55</v>
      </c>
      <c r="Q139" s="7" t="s">
        <v>56</v>
      </c>
      <c r="R139" s="3" t="s">
        <v>47</v>
      </c>
      <c r="S139" s="3" t="s">
        <v>53</v>
      </c>
      <c r="T139" s="3" t="s">
        <v>53</v>
      </c>
      <c r="U139" s="3" t="s">
        <v>47</v>
      </c>
      <c r="V139" s="4" t="s">
        <v>429</v>
      </c>
      <c r="W139" s="305">
        <f>'Deng data'!O16</f>
        <v>15.180722891566266</v>
      </c>
    </row>
    <row r="140" spans="1:24" s="34" customFormat="1" ht="47.25" x14ac:dyDescent="0.25">
      <c r="A140" s="2"/>
      <c r="B140" s="6" t="s">
        <v>177</v>
      </c>
      <c r="C140" s="3" t="s">
        <v>178</v>
      </c>
      <c r="D140" s="3">
        <f>'Deng data'!K30</f>
        <v>2008</v>
      </c>
      <c r="E140" s="357" t="s">
        <v>179</v>
      </c>
      <c r="F140" s="21" t="s">
        <v>51</v>
      </c>
      <c r="G140" s="3" t="s">
        <v>46</v>
      </c>
      <c r="H140" s="3" t="s">
        <v>47</v>
      </c>
      <c r="I140" s="3" t="s">
        <v>53</v>
      </c>
      <c r="J140" s="3" t="s">
        <v>74</v>
      </c>
      <c r="K140" s="3" t="s">
        <v>74</v>
      </c>
      <c r="L140" s="3" t="s">
        <v>103</v>
      </c>
      <c r="M140" s="3" t="s">
        <v>74</v>
      </c>
      <c r="N140" s="3" t="s">
        <v>53</v>
      </c>
      <c r="O140" s="3" t="s">
        <v>54</v>
      </c>
      <c r="P140" s="3" t="s">
        <v>55</v>
      </c>
      <c r="Q140" s="7" t="s">
        <v>56</v>
      </c>
      <c r="R140" s="3" t="s">
        <v>47</v>
      </c>
      <c r="S140" s="3" t="s">
        <v>53</v>
      </c>
      <c r="T140" s="3" t="s">
        <v>53</v>
      </c>
      <c r="U140" s="3" t="s">
        <v>47</v>
      </c>
      <c r="V140" s="4" t="s">
        <v>217</v>
      </c>
      <c r="W140" s="305">
        <f>'Deng data'!N30</f>
        <v>13.337349397590362</v>
      </c>
    </row>
    <row r="141" spans="1:24" s="34" customFormat="1" ht="63" x14ac:dyDescent="0.25">
      <c r="A141" s="2"/>
      <c r="B141" s="6" t="s">
        <v>222</v>
      </c>
      <c r="C141" s="3" t="s">
        <v>223</v>
      </c>
      <c r="D141" s="3">
        <f>'Hu data'!B7</f>
        <v>1999</v>
      </c>
      <c r="E141" s="357" t="s">
        <v>224</v>
      </c>
      <c r="F141" s="21" t="s">
        <v>51</v>
      </c>
      <c r="G141" s="3" t="s">
        <v>74</v>
      </c>
      <c r="H141" s="3" t="s">
        <v>47</v>
      </c>
      <c r="I141" s="3" t="s">
        <v>53</v>
      </c>
      <c r="J141" s="3" t="s">
        <v>74</v>
      </c>
      <c r="K141" s="3" t="s">
        <v>225</v>
      </c>
      <c r="L141" s="3" t="s">
        <v>74</v>
      </c>
      <c r="M141" s="3" t="s">
        <v>74</v>
      </c>
      <c r="N141" s="3" t="s">
        <v>53</v>
      </c>
      <c r="O141" s="3" t="s">
        <v>201</v>
      </c>
      <c r="P141" s="3" t="s">
        <v>55</v>
      </c>
      <c r="Q141" s="7" t="s">
        <v>56</v>
      </c>
      <c r="R141" s="3" t="s">
        <v>47</v>
      </c>
      <c r="S141" s="3" t="s">
        <v>53</v>
      </c>
      <c r="T141" s="3" t="s">
        <v>53</v>
      </c>
      <c r="U141" s="3" t="s">
        <v>47</v>
      </c>
      <c r="V141" s="4" t="s">
        <v>436</v>
      </c>
      <c r="W141" s="305">
        <f>'Hu data'!E7</f>
        <v>9.3795180722891569</v>
      </c>
    </row>
    <row r="142" spans="1:24" s="34" customFormat="1" ht="63" x14ac:dyDescent="0.25">
      <c r="A142" s="2"/>
      <c r="B142" s="6" t="s">
        <v>222</v>
      </c>
      <c r="C142" s="3" t="s">
        <v>223</v>
      </c>
      <c r="D142" s="3">
        <f>'Hu data'!B8</f>
        <v>1999</v>
      </c>
      <c r="E142" s="357" t="s">
        <v>224</v>
      </c>
      <c r="F142" s="21" t="s">
        <v>51</v>
      </c>
      <c r="G142" s="3" t="s">
        <v>74</v>
      </c>
      <c r="H142" s="3" t="s">
        <v>47</v>
      </c>
      <c r="I142" s="3" t="s">
        <v>53</v>
      </c>
      <c r="J142" s="3" t="s">
        <v>74</v>
      </c>
      <c r="K142" s="3" t="s">
        <v>225</v>
      </c>
      <c r="L142" s="3" t="s">
        <v>74</v>
      </c>
      <c r="M142" s="3" t="s">
        <v>74</v>
      </c>
      <c r="N142" s="3" t="s">
        <v>53</v>
      </c>
      <c r="O142" s="3" t="s">
        <v>201</v>
      </c>
      <c r="P142" s="3" t="s">
        <v>55</v>
      </c>
      <c r="Q142" s="7" t="s">
        <v>56</v>
      </c>
      <c r="R142" s="3" t="s">
        <v>47</v>
      </c>
      <c r="S142" s="3" t="s">
        <v>53</v>
      </c>
      <c r="T142" s="3" t="s">
        <v>53</v>
      </c>
      <c r="U142" s="3" t="s">
        <v>47</v>
      </c>
      <c r="V142" s="4" t="s">
        <v>436</v>
      </c>
      <c r="W142" s="305">
        <f>'Hu data'!E8</f>
        <v>34.590361445783138</v>
      </c>
    </row>
    <row r="143" spans="1:24" s="34" customFormat="1" ht="63" x14ac:dyDescent="0.25">
      <c r="A143" s="2"/>
      <c r="B143" s="6" t="s">
        <v>222</v>
      </c>
      <c r="C143" s="3" t="s">
        <v>223</v>
      </c>
      <c r="D143" s="3">
        <f>'Hu data'!B9</f>
        <v>1999</v>
      </c>
      <c r="E143" s="357" t="s">
        <v>224</v>
      </c>
      <c r="F143" s="21" t="s">
        <v>51</v>
      </c>
      <c r="G143" s="3" t="s">
        <v>74</v>
      </c>
      <c r="H143" s="3" t="s">
        <v>47</v>
      </c>
      <c r="I143" s="3" t="s">
        <v>53</v>
      </c>
      <c r="J143" s="3" t="s">
        <v>74</v>
      </c>
      <c r="K143" s="3" t="s">
        <v>225</v>
      </c>
      <c r="L143" s="3" t="s">
        <v>74</v>
      </c>
      <c r="M143" s="3" t="s">
        <v>74</v>
      </c>
      <c r="N143" s="3" t="s">
        <v>53</v>
      </c>
      <c r="O143" s="3" t="s">
        <v>201</v>
      </c>
      <c r="P143" s="3" t="s">
        <v>55</v>
      </c>
      <c r="Q143" s="7" t="s">
        <v>56</v>
      </c>
      <c r="R143" s="3" t="s">
        <v>47</v>
      </c>
      <c r="S143" s="3" t="s">
        <v>53</v>
      </c>
      <c r="T143" s="3" t="s">
        <v>53</v>
      </c>
      <c r="U143" s="3" t="s">
        <v>47</v>
      </c>
      <c r="V143" s="4" t="s">
        <v>436</v>
      </c>
      <c r="W143" s="305">
        <f>'Hu data'!E9</f>
        <v>15.527710843373494</v>
      </c>
    </row>
    <row r="144" spans="1:24" s="34" customFormat="1" ht="63" x14ac:dyDescent="0.25">
      <c r="A144" s="2"/>
      <c r="B144" s="6" t="s">
        <v>222</v>
      </c>
      <c r="C144" s="3" t="s">
        <v>223</v>
      </c>
      <c r="D144" s="3">
        <f>'Hu data'!B10</f>
        <v>1997</v>
      </c>
      <c r="E144" s="357" t="s">
        <v>224</v>
      </c>
      <c r="F144" s="21" t="s">
        <v>51</v>
      </c>
      <c r="G144" s="3" t="s">
        <v>74</v>
      </c>
      <c r="H144" s="3" t="s">
        <v>47</v>
      </c>
      <c r="I144" s="3" t="s">
        <v>53</v>
      </c>
      <c r="J144" s="3" t="s">
        <v>74</v>
      </c>
      <c r="K144" s="3" t="s">
        <v>74</v>
      </c>
      <c r="L144" s="3" t="s">
        <v>74</v>
      </c>
      <c r="M144" s="3" t="s">
        <v>74</v>
      </c>
      <c r="N144" s="3" t="s">
        <v>53</v>
      </c>
      <c r="O144" s="3" t="s">
        <v>54</v>
      </c>
      <c r="P144" s="3" t="s">
        <v>55</v>
      </c>
      <c r="Q144" s="7" t="s">
        <v>56</v>
      </c>
      <c r="R144" s="3" t="s">
        <v>47</v>
      </c>
      <c r="S144" s="3" t="s">
        <v>53</v>
      </c>
      <c r="T144" s="3" t="s">
        <v>53</v>
      </c>
      <c r="U144" s="3" t="s">
        <v>47</v>
      </c>
      <c r="V144" s="4" t="s">
        <v>436</v>
      </c>
      <c r="W144" s="305">
        <f>'Hu data'!E10</f>
        <v>19.192771084337348</v>
      </c>
    </row>
    <row r="145" spans="1:23" s="34" customFormat="1" ht="63" x14ac:dyDescent="0.25">
      <c r="A145" s="2"/>
      <c r="B145" s="6" t="s">
        <v>222</v>
      </c>
      <c r="C145" s="3" t="s">
        <v>223</v>
      </c>
      <c r="D145" s="3">
        <f>'Hu data'!B11</f>
        <v>1995</v>
      </c>
      <c r="E145" s="357" t="s">
        <v>224</v>
      </c>
      <c r="F145" s="21" t="s">
        <v>51</v>
      </c>
      <c r="G145" s="3" t="s">
        <v>74</v>
      </c>
      <c r="H145" s="3" t="s">
        <v>47</v>
      </c>
      <c r="I145" s="3" t="s">
        <v>53</v>
      </c>
      <c r="J145" s="3" t="s">
        <v>74</v>
      </c>
      <c r="K145" s="3" t="s">
        <v>74</v>
      </c>
      <c r="L145" s="3" t="s">
        <v>74</v>
      </c>
      <c r="M145" s="3" t="s">
        <v>74</v>
      </c>
      <c r="N145" s="3" t="s">
        <v>53</v>
      </c>
      <c r="O145" s="3" t="s">
        <v>54</v>
      </c>
      <c r="P145" s="3" t="s">
        <v>55</v>
      </c>
      <c r="Q145" s="7" t="s">
        <v>56</v>
      </c>
      <c r="R145" s="3" t="s">
        <v>47</v>
      </c>
      <c r="S145" s="3" t="s">
        <v>53</v>
      </c>
      <c r="T145" s="3" t="s">
        <v>53</v>
      </c>
      <c r="U145" s="3" t="s">
        <v>47</v>
      </c>
      <c r="V145" s="4" t="s">
        <v>436</v>
      </c>
      <c r="W145" s="305">
        <f>'Hu data'!E11</f>
        <v>15.289156626506024</v>
      </c>
    </row>
    <row r="146" spans="1:23" s="34" customFormat="1" ht="63" x14ac:dyDescent="0.25">
      <c r="A146" s="2"/>
      <c r="B146" s="6" t="s">
        <v>222</v>
      </c>
      <c r="C146" s="3" t="s">
        <v>223</v>
      </c>
      <c r="D146" s="3">
        <f>'Hu data'!B12</f>
        <v>1988</v>
      </c>
      <c r="E146" s="357" t="s">
        <v>224</v>
      </c>
      <c r="F146" s="21" t="s">
        <v>51</v>
      </c>
      <c r="G146" s="3" t="s">
        <v>74</v>
      </c>
      <c r="H146" s="3" t="s">
        <v>47</v>
      </c>
      <c r="I146" s="3" t="s">
        <v>53</v>
      </c>
      <c r="J146" s="3" t="s">
        <v>74</v>
      </c>
      <c r="K146" s="3" t="s">
        <v>74</v>
      </c>
      <c r="L146" s="3" t="s">
        <v>74</v>
      </c>
      <c r="M146" s="3" t="s">
        <v>74</v>
      </c>
      <c r="N146" s="3" t="s">
        <v>53</v>
      </c>
      <c r="O146" s="3" t="s">
        <v>48</v>
      </c>
      <c r="P146" s="3" t="s">
        <v>55</v>
      </c>
      <c r="Q146" s="7" t="s">
        <v>56</v>
      </c>
      <c r="R146" s="3" t="s">
        <v>47</v>
      </c>
      <c r="S146" s="3" t="s">
        <v>53</v>
      </c>
      <c r="T146" s="3" t="s">
        <v>53</v>
      </c>
      <c r="U146" s="3" t="s">
        <v>47</v>
      </c>
      <c r="V146" s="4" t="s">
        <v>436</v>
      </c>
      <c r="W146" s="305">
        <f>'Hu data'!E12</f>
        <v>20.168674698795183</v>
      </c>
    </row>
    <row r="147" spans="1:23" s="34" customFormat="1" ht="63" x14ac:dyDescent="0.25">
      <c r="A147" s="2"/>
      <c r="B147" s="6" t="s">
        <v>222</v>
      </c>
      <c r="C147" s="3" t="s">
        <v>223</v>
      </c>
      <c r="D147" s="3">
        <f>'Hu data'!B13</f>
        <v>1984</v>
      </c>
      <c r="E147" s="357" t="s">
        <v>224</v>
      </c>
      <c r="F147" s="21" t="s">
        <v>51</v>
      </c>
      <c r="G147" s="3" t="s">
        <v>74</v>
      </c>
      <c r="H147" s="3" t="s">
        <v>47</v>
      </c>
      <c r="I147" s="3" t="s">
        <v>53</v>
      </c>
      <c r="J147" s="3" t="s">
        <v>74</v>
      </c>
      <c r="K147" s="3" t="s">
        <v>74</v>
      </c>
      <c r="L147" s="3" t="s">
        <v>74</v>
      </c>
      <c r="M147" s="3" t="s">
        <v>74</v>
      </c>
      <c r="N147" s="3" t="s">
        <v>53</v>
      </c>
      <c r="O147" s="3" t="s">
        <v>54</v>
      </c>
      <c r="P147" s="3" t="s">
        <v>55</v>
      </c>
      <c r="Q147" s="7" t="s">
        <v>56</v>
      </c>
      <c r="R147" s="3" t="s">
        <v>47</v>
      </c>
      <c r="S147" s="3" t="s">
        <v>53</v>
      </c>
      <c r="T147" s="3" t="s">
        <v>53</v>
      </c>
      <c r="U147" s="3" t="s">
        <v>47</v>
      </c>
      <c r="V147" s="4" t="s">
        <v>436</v>
      </c>
      <c r="W147" s="305">
        <f>'Hu data'!E13</f>
        <v>35.349397590361441</v>
      </c>
    </row>
    <row r="148" spans="1:23" s="34" customFormat="1" ht="63" x14ac:dyDescent="0.25">
      <c r="A148" s="2"/>
      <c r="B148" s="6" t="s">
        <v>222</v>
      </c>
      <c r="C148" s="3" t="s">
        <v>223</v>
      </c>
      <c r="D148" s="3">
        <f>'Hu data'!B14</f>
        <v>1983</v>
      </c>
      <c r="E148" s="357" t="s">
        <v>224</v>
      </c>
      <c r="F148" s="21" t="s">
        <v>51</v>
      </c>
      <c r="G148" s="3" t="s">
        <v>74</v>
      </c>
      <c r="H148" s="3" t="s">
        <v>47</v>
      </c>
      <c r="I148" s="3" t="s">
        <v>53</v>
      </c>
      <c r="J148" s="3" t="s">
        <v>74</v>
      </c>
      <c r="K148" s="3" t="s">
        <v>74</v>
      </c>
      <c r="L148" s="3" t="s">
        <v>74</v>
      </c>
      <c r="M148" s="3" t="s">
        <v>74</v>
      </c>
      <c r="N148" s="3" t="s">
        <v>53</v>
      </c>
      <c r="O148" s="3" t="s">
        <v>54</v>
      </c>
      <c r="P148" s="3" t="s">
        <v>55</v>
      </c>
      <c r="Q148" s="7" t="s">
        <v>56</v>
      </c>
      <c r="R148" s="3" t="s">
        <v>47</v>
      </c>
      <c r="S148" s="3" t="s">
        <v>53</v>
      </c>
      <c r="T148" s="3" t="s">
        <v>53</v>
      </c>
      <c r="U148" s="3" t="s">
        <v>47</v>
      </c>
      <c r="V148" s="4" t="s">
        <v>436</v>
      </c>
      <c r="W148" s="305">
        <f>'Hu data'!E14</f>
        <v>33.614457831325304</v>
      </c>
    </row>
    <row r="149" spans="1:23" s="34" customFormat="1" ht="47.25" x14ac:dyDescent="0.25">
      <c r="A149" s="2"/>
      <c r="B149" s="6" t="s">
        <v>234</v>
      </c>
      <c r="C149" s="3" t="s">
        <v>235</v>
      </c>
      <c r="D149" s="3">
        <f>'Branham data'!B6</f>
        <v>2007</v>
      </c>
      <c r="E149" s="357" t="s">
        <v>236</v>
      </c>
      <c r="F149" s="21" t="s">
        <v>51</v>
      </c>
      <c r="G149" s="3" t="s">
        <v>46</v>
      </c>
      <c r="H149" s="3" t="s">
        <v>47</v>
      </c>
      <c r="I149" s="3" t="s">
        <v>53</v>
      </c>
      <c r="J149" s="3" t="s">
        <v>74</v>
      </c>
      <c r="K149" s="3" t="s">
        <v>74</v>
      </c>
      <c r="L149" s="3" t="s">
        <v>74</v>
      </c>
      <c r="M149" s="3" t="s">
        <v>47</v>
      </c>
      <c r="N149" s="3" t="s">
        <v>74</v>
      </c>
      <c r="O149" s="3" t="s">
        <v>237</v>
      </c>
      <c r="P149" s="3" t="s">
        <v>173</v>
      </c>
      <c r="Q149" s="7" t="s">
        <v>61</v>
      </c>
      <c r="R149" s="3" t="s">
        <v>47</v>
      </c>
      <c r="S149" s="3" t="s">
        <v>113</v>
      </c>
      <c r="T149" s="3" t="s">
        <v>47</v>
      </c>
      <c r="U149" s="3" t="s">
        <v>47</v>
      </c>
      <c r="V149" s="4" t="s">
        <v>437</v>
      </c>
      <c r="W149" s="305">
        <f>'Branham data'!D6</f>
        <v>16.590361445783135</v>
      </c>
    </row>
    <row r="150" spans="1:23" s="34" customFormat="1" ht="47.25" x14ac:dyDescent="0.25">
      <c r="A150" s="2"/>
      <c r="B150" s="6" t="s">
        <v>234</v>
      </c>
      <c r="C150" s="3" t="s">
        <v>235</v>
      </c>
      <c r="D150" s="3">
        <f>'Branham data'!B7</f>
        <v>2007</v>
      </c>
      <c r="E150" s="357" t="s">
        <v>239</v>
      </c>
      <c r="F150" s="21" t="s">
        <v>51</v>
      </c>
      <c r="G150" s="3" t="s">
        <v>46</v>
      </c>
      <c r="H150" s="3" t="s">
        <v>47</v>
      </c>
      <c r="I150" s="3" t="s">
        <v>53</v>
      </c>
      <c r="J150" s="3" t="s">
        <v>74</v>
      </c>
      <c r="K150" s="3" t="s">
        <v>74</v>
      </c>
      <c r="L150" s="3" t="s">
        <v>74</v>
      </c>
      <c r="M150" s="3" t="s">
        <v>47</v>
      </c>
      <c r="N150" s="3" t="s">
        <v>74</v>
      </c>
      <c r="O150" s="3" t="s">
        <v>237</v>
      </c>
      <c r="P150" s="3" t="s">
        <v>173</v>
      </c>
      <c r="Q150" s="7" t="s">
        <v>61</v>
      </c>
      <c r="R150" s="3" t="s">
        <v>47</v>
      </c>
      <c r="S150" s="3" t="s">
        <v>113</v>
      </c>
      <c r="T150" s="3" t="s">
        <v>47</v>
      </c>
      <c r="U150" s="3" t="s">
        <v>47</v>
      </c>
      <c r="V150" s="4" t="s">
        <v>437</v>
      </c>
      <c r="W150" s="305">
        <f>'Branham data'!D7</f>
        <v>19.951807228915666</v>
      </c>
    </row>
    <row r="151" spans="1:23" s="34" customFormat="1" ht="47.25" x14ac:dyDescent="0.25">
      <c r="A151" s="2"/>
      <c r="B151" s="6" t="s">
        <v>234</v>
      </c>
      <c r="C151" s="3" t="s">
        <v>235</v>
      </c>
      <c r="D151" s="3">
        <f>'Branham data'!B8</f>
        <v>2007</v>
      </c>
      <c r="E151" s="357" t="s">
        <v>240</v>
      </c>
      <c r="F151" s="21" t="s">
        <v>51</v>
      </c>
      <c r="G151" s="3" t="s">
        <v>46</v>
      </c>
      <c r="H151" s="3" t="s">
        <v>47</v>
      </c>
      <c r="I151" s="3" t="s">
        <v>53</v>
      </c>
      <c r="J151" s="3" t="s">
        <v>74</v>
      </c>
      <c r="K151" s="3" t="s">
        <v>74</v>
      </c>
      <c r="L151" s="3" t="s">
        <v>74</v>
      </c>
      <c r="M151" s="3" t="s">
        <v>47</v>
      </c>
      <c r="N151" s="3" t="s">
        <v>74</v>
      </c>
      <c r="O151" s="3" t="s">
        <v>237</v>
      </c>
      <c r="P151" s="3" t="s">
        <v>173</v>
      </c>
      <c r="Q151" s="7" t="s">
        <v>61</v>
      </c>
      <c r="R151" s="3" t="s">
        <v>47</v>
      </c>
      <c r="S151" s="3" t="s">
        <v>113</v>
      </c>
      <c r="T151" s="3" t="s">
        <v>47</v>
      </c>
      <c r="U151" s="3" t="s">
        <v>47</v>
      </c>
      <c r="V151" s="4" t="s">
        <v>437</v>
      </c>
      <c r="W151" s="305">
        <f>'Branham data'!D8</f>
        <v>21.903614457831328</v>
      </c>
    </row>
    <row r="152" spans="1:23" s="34" customFormat="1" ht="47.25" x14ac:dyDescent="0.25">
      <c r="A152" s="2"/>
      <c r="B152" s="6" t="s">
        <v>234</v>
      </c>
      <c r="C152" s="3" t="s">
        <v>235</v>
      </c>
      <c r="D152" s="3">
        <f>'Branham data'!B9</f>
        <v>2007</v>
      </c>
      <c r="E152" s="357" t="s">
        <v>241</v>
      </c>
      <c r="F152" s="21" t="s">
        <v>51</v>
      </c>
      <c r="G152" s="3" t="s">
        <v>46</v>
      </c>
      <c r="H152" s="3" t="s">
        <v>47</v>
      </c>
      <c r="I152" s="3" t="s">
        <v>53</v>
      </c>
      <c r="J152" s="3" t="s">
        <v>74</v>
      </c>
      <c r="K152" s="3" t="s">
        <v>74</v>
      </c>
      <c r="L152" s="3" t="s">
        <v>74</v>
      </c>
      <c r="M152" s="3" t="s">
        <v>47</v>
      </c>
      <c r="N152" s="3" t="s">
        <v>74</v>
      </c>
      <c r="O152" s="3" t="s">
        <v>237</v>
      </c>
      <c r="P152" s="3" t="s">
        <v>173</v>
      </c>
      <c r="Q152" s="7" t="s">
        <v>61</v>
      </c>
      <c r="R152" s="3" t="s">
        <v>47</v>
      </c>
      <c r="S152" s="3" t="s">
        <v>113</v>
      </c>
      <c r="T152" s="3" t="s">
        <v>47</v>
      </c>
      <c r="U152" s="3" t="s">
        <v>47</v>
      </c>
      <c r="V152" s="4" t="s">
        <v>437</v>
      </c>
      <c r="W152" s="305">
        <f>'Branham data'!D9</f>
        <v>22.987951807228917</v>
      </c>
    </row>
    <row r="153" spans="1:23" s="34" customFormat="1" ht="47.25" x14ac:dyDescent="0.25">
      <c r="A153" s="2"/>
      <c r="B153" s="6" t="s">
        <v>234</v>
      </c>
      <c r="C153" s="3" t="s">
        <v>235</v>
      </c>
      <c r="D153" s="3">
        <f>'Branham data'!B10</f>
        <v>2006</v>
      </c>
      <c r="E153" s="357" t="s">
        <v>242</v>
      </c>
      <c r="F153" s="21" t="s">
        <v>51</v>
      </c>
      <c r="G153" s="3" t="s">
        <v>46</v>
      </c>
      <c r="H153" s="3" t="s">
        <v>47</v>
      </c>
      <c r="I153" s="3" t="s">
        <v>53</v>
      </c>
      <c r="J153" s="3" t="s">
        <v>74</v>
      </c>
      <c r="K153" s="3" t="s">
        <v>74</v>
      </c>
      <c r="L153" s="3" t="s">
        <v>74</v>
      </c>
      <c r="M153" s="3" t="s">
        <v>47</v>
      </c>
      <c r="N153" s="3" t="s">
        <v>74</v>
      </c>
      <c r="O153" s="3" t="s">
        <v>237</v>
      </c>
      <c r="P153" s="3" t="s">
        <v>173</v>
      </c>
      <c r="Q153" s="7" t="s">
        <v>61</v>
      </c>
      <c r="R153" s="3" t="s">
        <v>47</v>
      </c>
      <c r="S153" s="3" t="s">
        <v>113</v>
      </c>
      <c r="T153" s="3" t="s">
        <v>47</v>
      </c>
      <c r="U153" s="3" t="s">
        <v>47</v>
      </c>
      <c r="V153" s="4" t="s">
        <v>437</v>
      </c>
      <c r="W153" s="305">
        <f>'Branham data'!D10</f>
        <v>22.120481927710845</v>
      </c>
    </row>
    <row r="154" spans="1:23" s="34" customFormat="1" ht="47.25" x14ac:dyDescent="0.25">
      <c r="A154" s="2"/>
      <c r="B154" s="6" t="s">
        <v>234</v>
      </c>
      <c r="C154" s="3" t="s">
        <v>235</v>
      </c>
      <c r="D154" s="3">
        <f>'Branham data'!B11</f>
        <v>2006</v>
      </c>
      <c r="E154" s="357" t="s">
        <v>243</v>
      </c>
      <c r="F154" s="21" t="s">
        <v>51</v>
      </c>
      <c r="G154" s="3" t="s">
        <v>46</v>
      </c>
      <c r="H154" s="3" t="s">
        <v>47</v>
      </c>
      <c r="I154" s="3" t="s">
        <v>53</v>
      </c>
      <c r="J154" s="3" t="s">
        <v>74</v>
      </c>
      <c r="K154" s="3" t="s">
        <v>74</v>
      </c>
      <c r="L154" s="3" t="s">
        <v>74</v>
      </c>
      <c r="M154" s="3" t="s">
        <v>47</v>
      </c>
      <c r="N154" s="3" t="s">
        <v>74</v>
      </c>
      <c r="O154" s="3" t="s">
        <v>237</v>
      </c>
      <c r="P154" s="3" t="s">
        <v>173</v>
      </c>
      <c r="Q154" s="7" t="s">
        <v>61</v>
      </c>
      <c r="R154" s="3" t="s">
        <v>47</v>
      </c>
      <c r="S154" s="3" t="s">
        <v>113</v>
      </c>
      <c r="T154" s="3" t="s">
        <v>47</v>
      </c>
      <c r="U154" s="3" t="s">
        <v>47</v>
      </c>
      <c r="V154" s="4" t="s">
        <v>437</v>
      </c>
      <c r="W154" s="305">
        <f>'Branham data'!D11</f>
        <v>30.036144578313255</v>
      </c>
    </row>
    <row r="155" spans="1:23" s="34" customFormat="1" ht="47.25" x14ac:dyDescent="0.25">
      <c r="A155" s="2"/>
      <c r="B155" s="6" t="s">
        <v>234</v>
      </c>
      <c r="C155" s="3" t="s">
        <v>235</v>
      </c>
      <c r="D155" s="3">
        <f>'Branham data'!B12</f>
        <v>2006</v>
      </c>
      <c r="E155" s="357" t="s">
        <v>244</v>
      </c>
      <c r="F155" s="21" t="s">
        <v>51</v>
      </c>
      <c r="G155" s="3" t="s">
        <v>46</v>
      </c>
      <c r="H155" s="3" t="s">
        <v>47</v>
      </c>
      <c r="I155" s="3" t="s">
        <v>53</v>
      </c>
      <c r="J155" s="3" t="s">
        <v>74</v>
      </c>
      <c r="K155" s="3" t="s">
        <v>74</v>
      </c>
      <c r="L155" s="3" t="s">
        <v>74</v>
      </c>
      <c r="M155" s="3" t="s">
        <v>47</v>
      </c>
      <c r="N155" s="3" t="s">
        <v>74</v>
      </c>
      <c r="O155" s="3" t="s">
        <v>237</v>
      </c>
      <c r="P155" s="3" t="s">
        <v>173</v>
      </c>
      <c r="Q155" s="7" t="s">
        <v>61</v>
      </c>
      <c r="R155" s="3" t="s">
        <v>47</v>
      </c>
      <c r="S155" s="3" t="s">
        <v>113</v>
      </c>
      <c r="T155" s="3" t="s">
        <v>47</v>
      </c>
      <c r="U155" s="3" t="s">
        <v>47</v>
      </c>
      <c r="V155" s="4" t="s">
        <v>437</v>
      </c>
      <c r="W155" s="305">
        <f>'Branham data'!D12</f>
        <v>29.277108433734941</v>
      </c>
    </row>
    <row r="156" spans="1:23" s="34" customFormat="1" ht="47.25" x14ac:dyDescent="0.25">
      <c r="A156" s="2"/>
      <c r="B156" s="6" t="s">
        <v>245</v>
      </c>
      <c r="C156" s="3" t="s">
        <v>246</v>
      </c>
      <c r="D156" s="3">
        <v>2002</v>
      </c>
      <c r="E156" s="357" t="s">
        <v>247</v>
      </c>
      <c r="F156" s="21" t="s">
        <v>45</v>
      </c>
      <c r="G156" s="3" t="s">
        <v>46</v>
      </c>
      <c r="H156" s="3" t="s">
        <v>47</v>
      </c>
      <c r="I156" s="3" t="s">
        <v>53</v>
      </c>
      <c r="J156" s="3">
        <v>130</v>
      </c>
      <c r="K156" s="3" t="s">
        <v>225</v>
      </c>
      <c r="L156" s="3" t="s">
        <v>47</v>
      </c>
      <c r="M156" s="3" t="s">
        <v>53</v>
      </c>
      <c r="N156" s="3" t="s">
        <v>53</v>
      </c>
      <c r="O156" s="3" t="s">
        <v>54</v>
      </c>
      <c r="P156" s="3" t="s">
        <v>55</v>
      </c>
      <c r="Q156" s="7" t="s">
        <v>50</v>
      </c>
      <c r="R156" s="3" t="s">
        <v>47</v>
      </c>
      <c r="S156" s="3" t="s">
        <v>53</v>
      </c>
      <c r="T156" s="3" t="s">
        <v>47</v>
      </c>
      <c r="U156" s="3" t="s">
        <v>53</v>
      </c>
      <c r="V156" s="4" t="s">
        <v>438</v>
      </c>
      <c r="W156" s="305">
        <f>'Murphy data'!E12</f>
        <v>13.959285417532199</v>
      </c>
    </row>
    <row r="157" spans="1:23" s="34" customFormat="1" ht="47.25" x14ac:dyDescent="0.25">
      <c r="A157" s="2"/>
      <c r="B157" s="6" t="s">
        <v>245</v>
      </c>
      <c r="C157" s="3" t="s">
        <v>246</v>
      </c>
      <c r="D157" s="3">
        <v>2002</v>
      </c>
      <c r="E157" s="357" t="s">
        <v>247</v>
      </c>
      <c r="F157" s="21" t="s">
        <v>45</v>
      </c>
      <c r="G157" s="3" t="s">
        <v>46</v>
      </c>
      <c r="H157" s="3" t="s">
        <v>47</v>
      </c>
      <c r="I157" s="3" t="s">
        <v>53</v>
      </c>
      <c r="J157" s="3">
        <v>130</v>
      </c>
      <c r="K157" s="3" t="s">
        <v>225</v>
      </c>
      <c r="L157" s="3" t="s">
        <v>47</v>
      </c>
      <c r="M157" s="3" t="s">
        <v>53</v>
      </c>
      <c r="N157" s="3" t="s">
        <v>53</v>
      </c>
      <c r="O157" s="3" t="s">
        <v>54</v>
      </c>
      <c r="P157" s="3" t="s">
        <v>55</v>
      </c>
      <c r="Q157" s="7" t="s">
        <v>50</v>
      </c>
      <c r="R157" s="3" t="s">
        <v>47</v>
      </c>
      <c r="S157" s="3" t="s">
        <v>53</v>
      </c>
      <c r="T157" s="3" t="s">
        <v>47</v>
      </c>
      <c r="U157" s="3" t="s">
        <v>53</v>
      </c>
      <c r="V157" s="4" t="s">
        <v>439</v>
      </c>
      <c r="W157" s="305">
        <f>'Murphy data'!E13</f>
        <v>16.867469879518072</v>
      </c>
    </row>
    <row r="158" spans="1:23" s="34" customFormat="1" ht="47.25" x14ac:dyDescent="0.25">
      <c r="A158" s="2"/>
      <c r="B158" s="6" t="s">
        <v>250</v>
      </c>
      <c r="C158" s="3" t="s">
        <v>251</v>
      </c>
      <c r="D158" s="3">
        <f>'Yao data'!B6</f>
        <v>2008</v>
      </c>
      <c r="E158" s="357" t="s">
        <v>252</v>
      </c>
      <c r="F158" s="21" t="s">
        <v>51</v>
      </c>
      <c r="G158" s="3" t="s">
        <v>74</v>
      </c>
      <c r="H158" s="3" t="s">
        <v>47</v>
      </c>
      <c r="I158" s="3" t="s">
        <v>53</v>
      </c>
      <c r="J158" s="3" t="s">
        <v>74</v>
      </c>
      <c r="K158" s="3" t="s">
        <v>74</v>
      </c>
      <c r="L158" s="3" t="s">
        <v>74</v>
      </c>
      <c r="M158" s="3" t="s">
        <v>74</v>
      </c>
      <c r="N158" s="3" t="s">
        <v>53</v>
      </c>
      <c r="O158" s="3" t="s">
        <v>74</v>
      </c>
      <c r="P158" s="3" t="s">
        <v>55</v>
      </c>
      <c r="Q158" s="7" t="s">
        <v>56</v>
      </c>
      <c r="R158" s="3" t="s">
        <v>47</v>
      </c>
      <c r="S158" s="3" t="s">
        <v>53</v>
      </c>
      <c r="T158" s="3" t="s">
        <v>53</v>
      </c>
      <c r="U158" s="3" t="s">
        <v>47</v>
      </c>
      <c r="V158" s="4" t="s">
        <v>440</v>
      </c>
      <c r="W158" s="305">
        <f>'Yao data'!E6</f>
        <v>11.277108433734941</v>
      </c>
    </row>
    <row r="159" spans="1:23" s="34" customFormat="1" ht="47.25" x14ac:dyDescent="0.25">
      <c r="A159" s="2"/>
      <c r="B159" s="6" t="s">
        <v>250</v>
      </c>
      <c r="C159" s="3" t="s">
        <v>251</v>
      </c>
      <c r="D159" s="3">
        <f>'Yao data'!B7</f>
        <v>2007</v>
      </c>
      <c r="E159" s="357" t="s">
        <v>252</v>
      </c>
      <c r="F159" s="21" t="s">
        <v>51</v>
      </c>
      <c r="G159" s="3" t="s">
        <v>74</v>
      </c>
      <c r="H159" s="3" t="s">
        <v>47</v>
      </c>
      <c r="I159" s="3" t="s">
        <v>53</v>
      </c>
      <c r="J159" s="3" t="s">
        <v>74</v>
      </c>
      <c r="K159" s="3" t="s">
        <v>74</v>
      </c>
      <c r="L159" s="3" t="s">
        <v>74</v>
      </c>
      <c r="M159" s="3" t="s">
        <v>74</v>
      </c>
      <c r="N159" s="3" t="s">
        <v>53</v>
      </c>
      <c r="O159" s="3" t="s">
        <v>74</v>
      </c>
      <c r="P159" s="3" t="s">
        <v>55</v>
      </c>
      <c r="Q159" s="7" t="s">
        <v>56</v>
      </c>
      <c r="R159" s="3" t="s">
        <v>47</v>
      </c>
      <c r="S159" s="3" t="s">
        <v>53</v>
      </c>
      <c r="T159" s="3" t="s">
        <v>53</v>
      </c>
      <c r="U159" s="3" t="s">
        <v>47</v>
      </c>
      <c r="V159" s="4" t="s">
        <v>440</v>
      </c>
      <c r="W159" s="305">
        <f>'Yao data'!E7</f>
        <v>11.277108433734941</v>
      </c>
    </row>
    <row r="160" spans="1:23" s="34" customFormat="1" ht="47.25" x14ac:dyDescent="0.25">
      <c r="A160" s="2"/>
      <c r="B160" s="6" t="s">
        <v>250</v>
      </c>
      <c r="C160" s="3" t="s">
        <v>251</v>
      </c>
      <c r="D160" s="3">
        <f>'Yao data'!B8</f>
        <v>2006</v>
      </c>
      <c r="E160" s="357" t="s">
        <v>252</v>
      </c>
      <c r="F160" s="21" t="s">
        <v>51</v>
      </c>
      <c r="G160" s="3" t="s">
        <v>74</v>
      </c>
      <c r="H160" s="3" t="s">
        <v>47</v>
      </c>
      <c r="I160" s="3" t="s">
        <v>53</v>
      </c>
      <c r="J160" s="3" t="s">
        <v>74</v>
      </c>
      <c r="K160" s="3" t="s">
        <v>74</v>
      </c>
      <c r="L160" s="3" t="s">
        <v>74</v>
      </c>
      <c r="M160" s="3" t="s">
        <v>74</v>
      </c>
      <c r="N160" s="3" t="s">
        <v>53</v>
      </c>
      <c r="O160" s="3" t="s">
        <v>74</v>
      </c>
      <c r="P160" s="3" t="s">
        <v>55</v>
      </c>
      <c r="Q160" s="7" t="s">
        <v>56</v>
      </c>
      <c r="R160" s="3" t="s">
        <v>47</v>
      </c>
      <c r="S160" s="3" t="s">
        <v>53</v>
      </c>
      <c r="T160" s="3" t="s">
        <v>53</v>
      </c>
      <c r="U160" s="3" t="s">
        <v>47</v>
      </c>
      <c r="V160" s="4" t="s">
        <v>440</v>
      </c>
      <c r="W160" s="305">
        <f>'Yao data'!E8</f>
        <v>13.554216867469879</v>
      </c>
    </row>
    <row r="161" spans="1:33" s="34" customFormat="1" ht="47.25" x14ac:dyDescent="0.25">
      <c r="A161" s="2"/>
      <c r="B161" s="6" t="s">
        <v>250</v>
      </c>
      <c r="C161" s="3" t="s">
        <v>251</v>
      </c>
      <c r="D161" s="3">
        <f>'Yao data'!B9</f>
        <v>2005</v>
      </c>
      <c r="E161" s="357" t="s">
        <v>252</v>
      </c>
      <c r="F161" s="21" t="s">
        <v>51</v>
      </c>
      <c r="G161" s="3" t="s">
        <v>74</v>
      </c>
      <c r="H161" s="3" t="s">
        <v>47</v>
      </c>
      <c r="I161" s="3" t="s">
        <v>53</v>
      </c>
      <c r="J161" s="3" t="s">
        <v>74</v>
      </c>
      <c r="K161" s="3" t="s">
        <v>74</v>
      </c>
      <c r="L161" s="3" t="s">
        <v>74</v>
      </c>
      <c r="M161" s="3" t="s">
        <v>74</v>
      </c>
      <c r="N161" s="3" t="s">
        <v>53</v>
      </c>
      <c r="O161" s="3" t="s">
        <v>74</v>
      </c>
      <c r="P161" s="3" t="s">
        <v>55</v>
      </c>
      <c r="Q161" s="7" t="s">
        <v>56</v>
      </c>
      <c r="R161" s="3" t="s">
        <v>47</v>
      </c>
      <c r="S161" s="3" t="s">
        <v>53</v>
      </c>
      <c r="T161" s="3" t="s">
        <v>53</v>
      </c>
      <c r="U161" s="3" t="s">
        <v>47</v>
      </c>
      <c r="V161" s="4" t="s">
        <v>440</v>
      </c>
      <c r="W161" s="305">
        <f>'Yao data'!E9</f>
        <v>14.746987951807233</v>
      </c>
    </row>
    <row r="162" spans="1:33" s="34" customFormat="1" ht="47.25" x14ac:dyDescent="0.25">
      <c r="A162" s="2"/>
      <c r="B162" s="6" t="s">
        <v>250</v>
      </c>
      <c r="C162" s="3" t="s">
        <v>251</v>
      </c>
      <c r="D162" s="3">
        <f>'Yao data'!B10</f>
        <v>2004</v>
      </c>
      <c r="E162" s="357" t="s">
        <v>252</v>
      </c>
      <c r="F162" s="21" t="s">
        <v>51</v>
      </c>
      <c r="G162" s="3" t="s">
        <v>74</v>
      </c>
      <c r="H162" s="3" t="s">
        <v>47</v>
      </c>
      <c r="I162" s="3" t="s">
        <v>53</v>
      </c>
      <c r="J162" s="3" t="s">
        <v>74</v>
      </c>
      <c r="K162" s="3" t="s">
        <v>74</v>
      </c>
      <c r="L162" s="3" t="s">
        <v>74</v>
      </c>
      <c r="M162" s="3" t="s">
        <v>74</v>
      </c>
      <c r="N162" s="3" t="s">
        <v>53</v>
      </c>
      <c r="O162" s="3" t="s">
        <v>74</v>
      </c>
      <c r="P162" s="3" t="s">
        <v>55</v>
      </c>
      <c r="Q162" s="7" t="s">
        <v>56</v>
      </c>
      <c r="R162" s="3" t="s">
        <v>47</v>
      </c>
      <c r="S162" s="3" t="s">
        <v>53</v>
      </c>
      <c r="T162" s="3" t="s">
        <v>53</v>
      </c>
      <c r="U162" s="3" t="s">
        <v>47</v>
      </c>
      <c r="V162" s="4" t="s">
        <v>440</v>
      </c>
      <c r="W162" s="305">
        <f>'Yao data'!E10</f>
        <v>15.180722891566266</v>
      </c>
    </row>
    <row r="163" spans="1:33" s="34" customFormat="1" ht="47.25" x14ac:dyDescent="0.25">
      <c r="A163" s="2"/>
      <c r="B163" s="6" t="s">
        <v>250</v>
      </c>
      <c r="C163" s="3" t="s">
        <v>251</v>
      </c>
      <c r="D163" s="3">
        <f>'Yao data'!B11</f>
        <v>2003</v>
      </c>
      <c r="E163" s="357" t="s">
        <v>252</v>
      </c>
      <c r="F163" s="21" t="s">
        <v>51</v>
      </c>
      <c r="G163" s="3" t="s">
        <v>74</v>
      </c>
      <c r="H163" s="3" t="s">
        <v>47</v>
      </c>
      <c r="I163" s="3" t="s">
        <v>53</v>
      </c>
      <c r="J163" s="3" t="s">
        <v>74</v>
      </c>
      <c r="K163" s="3" t="s">
        <v>74</v>
      </c>
      <c r="L163" s="3" t="s">
        <v>74</v>
      </c>
      <c r="M163" s="3" t="s">
        <v>74</v>
      </c>
      <c r="N163" s="3" t="s">
        <v>53</v>
      </c>
      <c r="O163" s="3" t="s">
        <v>74</v>
      </c>
      <c r="P163" s="3" t="s">
        <v>55</v>
      </c>
      <c r="Q163" s="7" t="s">
        <v>56</v>
      </c>
      <c r="R163" s="3" t="s">
        <v>47</v>
      </c>
      <c r="S163" s="3" t="s">
        <v>53</v>
      </c>
      <c r="T163" s="3" t="s">
        <v>53</v>
      </c>
      <c r="U163" s="3" t="s">
        <v>47</v>
      </c>
      <c r="V163" s="4" t="s">
        <v>440</v>
      </c>
      <c r="W163" s="305">
        <f>'Yao data'!E11</f>
        <v>16.481927710843372</v>
      </c>
    </row>
    <row r="164" spans="1:33" s="34" customFormat="1" ht="47.25" x14ac:dyDescent="0.25">
      <c r="A164" s="2"/>
      <c r="B164" s="6" t="s">
        <v>250</v>
      </c>
      <c r="C164" s="3" t="s">
        <v>251</v>
      </c>
      <c r="D164" s="3">
        <f>'Yao data'!B12</f>
        <v>2002</v>
      </c>
      <c r="E164" s="357" t="s">
        <v>252</v>
      </c>
      <c r="F164" s="21" t="s">
        <v>51</v>
      </c>
      <c r="G164" s="3" t="s">
        <v>74</v>
      </c>
      <c r="H164" s="3" t="s">
        <v>47</v>
      </c>
      <c r="I164" s="3" t="s">
        <v>53</v>
      </c>
      <c r="J164" s="3" t="s">
        <v>74</v>
      </c>
      <c r="K164" s="3" t="s">
        <v>74</v>
      </c>
      <c r="L164" s="3" t="s">
        <v>74</v>
      </c>
      <c r="M164" s="3" t="s">
        <v>74</v>
      </c>
      <c r="N164" s="3" t="s">
        <v>53</v>
      </c>
      <c r="O164" s="3" t="s">
        <v>74</v>
      </c>
      <c r="P164" s="3" t="s">
        <v>55</v>
      </c>
      <c r="Q164" s="7" t="s">
        <v>56</v>
      </c>
      <c r="R164" s="3" t="s">
        <v>47</v>
      </c>
      <c r="S164" s="3" t="s">
        <v>53</v>
      </c>
      <c r="T164" s="3" t="s">
        <v>53</v>
      </c>
      <c r="U164" s="3" t="s">
        <v>47</v>
      </c>
      <c r="V164" s="4" t="s">
        <v>440</v>
      </c>
      <c r="W164" s="305">
        <f>'Yao data'!E12</f>
        <v>17.349397590361448</v>
      </c>
    </row>
    <row r="165" spans="1:33" s="34" customFormat="1" ht="47.25" x14ac:dyDescent="0.25">
      <c r="A165" s="2"/>
      <c r="B165" s="6" t="s">
        <v>250</v>
      </c>
      <c r="C165" s="3" t="s">
        <v>251</v>
      </c>
      <c r="D165" s="3">
        <f>'Yao data'!B13</f>
        <v>2001</v>
      </c>
      <c r="E165" s="357" t="s">
        <v>252</v>
      </c>
      <c r="F165" s="21" t="s">
        <v>51</v>
      </c>
      <c r="G165" s="3" t="s">
        <v>74</v>
      </c>
      <c r="H165" s="3" t="s">
        <v>47</v>
      </c>
      <c r="I165" s="3" t="s">
        <v>53</v>
      </c>
      <c r="J165" s="3" t="s">
        <v>74</v>
      </c>
      <c r="K165" s="3" t="s">
        <v>74</v>
      </c>
      <c r="L165" s="3" t="s">
        <v>74</v>
      </c>
      <c r="M165" s="3" t="s">
        <v>74</v>
      </c>
      <c r="N165" s="3" t="s">
        <v>53</v>
      </c>
      <c r="O165" s="3" t="s">
        <v>74</v>
      </c>
      <c r="P165" s="3" t="s">
        <v>55</v>
      </c>
      <c r="Q165" s="7" t="s">
        <v>56</v>
      </c>
      <c r="R165" s="3" t="s">
        <v>47</v>
      </c>
      <c r="S165" s="3" t="s">
        <v>53</v>
      </c>
      <c r="T165" s="3" t="s">
        <v>53</v>
      </c>
      <c r="U165" s="3" t="s">
        <v>47</v>
      </c>
      <c r="V165" s="4" t="s">
        <v>440</v>
      </c>
      <c r="W165" s="305">
        <f>'Yao data'!E13</f>
        <v>17.891566265060241</v>
      </c>
    </row>
    <row r="166" spans="1:33" s="345" customFormat="1" x14ac:dyDescent="0.25">
      <c r="A166" s="326"/>
      <c r="B166" s="332"/>
      <c r="C166" s="333"/>
      <c r="D166" s="248"/>
      <c r="E166" s="307"/>
      <c r="F166" s="333"/>
      <c r="G166" s="333"/>
      <c r="H166" s="333"/>
      <c r="I166" s="334"/>
      <c r="J166" s="333"/>
      <c r="K166" s="333"/>
      <c r="L166" s="334"/>
      <c r="M166" s="334"/>
      <c r="N166" s="334"/>
      <c r="O166" s="248"/>
      <c r="P166" s="248"/>
      <c r="Q166" s="334"/>
      <c r="R166" s="333"/>
      <c r="S166" s="248"/>
      <c r="T166" s="248"/>
      <c r="U166" s="248"/>
      <c r="V166" s="335"/>
      <c r="W166" s="341"/>
      <c r="X166" s="326"/>
      <c r="Y166" s="326"/>
      <c r="Z166" s="326"/>
      <c r="AA166" s="326"/>
      <c r="AB166" s="326"/>
      <c r="AC166" s="326"/>
      <c r="AD166" s="326"/>
      <c r="AE166" s="326"/>
      <c r="AF166" s="326"/>
      <c r="AG166" s="326"/>
    </row>
    <row r="167" spans="1:33" s="34" customFormat="1" ht="141.75" x14ac:dyDescent="0.25">
      <c r="A167" s="2"/>
      <c r="B167" s="2" t="s">
        <v>254</v>
      </c>
      <c r="C167" s="21" t="s">
        <v>255</v>
      </c>
      <c r="D167" s="3">
        <v>2020</v>
      </c>
      <c r="E167" s="358" t="s">
        <v>4</v>
      </c>
      <c r="F167" s="21" t="s">
        <v>51</v>
      </c>
      <c r="G167" s="3" t="s">
        <v>256</v>
      </c>
      <c r="H167" s="3" t="s">
        <v>47</v>
      </c>
      <c r="I167" s="3" t="s">
        <v>113</v>
      </c>
      <c r="J167" s="3" t="s">
        <v>257</v>
      </c>
      <c r="K167" s="3" t="s">
        <v>258</v>
      </c>
      <c r="L167" s="7" t="s">
        <v>107</v>
      </c>
      <c r="M167" s="3" t="s">
        <v>47</v>
      </c>
      <c r="N167" s="3" t="s">
        <v>81</v>
      </c>
      <c r="O167" s="3" t="s">
        <v>259</v>
      </c>
      <c r="P167" s="3" t="s">
        <v>88</v>
      </c>
      <c r="Q167" s="3" t="s">
        <v>56</v>
      </c>
      <c r="R167" s="3" t="s">
        <v>47</v>
      </c>
      <c r="S167" s="3" t="s">
        <v>53</v>
      </c>
      <c r="T167" s="3" t="s">
        <v>53</v>
      </c>
      <c r="U167" s="3" t="s">
        <v>53</v>
      </c>
      <c r="V167" s="4" t="s">
        <v>441</v>
      </c>
      <c r="W167" s="302">
        <f>'Industries data'!P4</f>
        <v>8.3029093703465477</v>
      </c>
    </row>
    <row r="168" spans="1:33" s="34" customFormat="1" ht="141.75" x14ac:dyDescent="0.25">
      <c r="A168" s="2"/>
      <c r="B168" s="2" t="s">
        <v>261</v>
      </c>
      <c r="C168" s="21" t="s">
        <v>255</v>
      </c>
      <c r="D168" s="3">
        <v>2019</v>
      </c>
      <c r="E168" s="358" t="s">
        <v>4</v>
      </c>
      <c r="F168" s="21" t="s">
        <v>51</v>
      </c>
      <c r="G168" s="3" t="s">
        <v>256</v>
      </c>
      <c r="H168" s="3" t="s">
        <v>47</v>
      </c>
      <c r="I168" s="3" t="s">
        <v>113</v>
      </c>
      <c r="J168" s="3" t="s">
        <v>257</v>
      </c>
      <c r="K168" s="3" t="s">
        <v>258</v>
      </c>
      <c r="L168" s="7" t="s">
        <v>107</v>
      </c>
      <c r="M168" s="3" t="s">
        <v>47</v>
      </c>
      <c r="N168" s="3" t="s">
        <v>81</v>
      </c>
      <c r="O168" s="3" t="s">
        <v>259</v>
      </c>
      <c r="P168" s="3" t="s">
        <v>88</v>
      </c>
      <c r="Q168" s="3" t="s">
        <v>56</v>
      </c>
      <c r="R168" s="3" t="s">
        <v>47</v>
      </c>
      <c r="S168" s="3" t="s">
        <v>53</v>
      </c>
      <c r="T168" s="3" t="s">
        <v>53</v>
      </c>
      <c r="U168" s="3" t="s">
        <v>53</v>
      </c>
      <c r="V168" s="4" t="s">
        <v>441</v>
      </c>
      <c r="W168" s="302">
        <f>'Industries data'!P5</f>
        <v>10.780436531492036</v>
      </c>
    </row>
    <row r="169" spans="1:33" s="34" customFormat="1" ht="141.75" x14ac:dyDescent="0.25">
      <c r="A169" s="2"/>
      <c r="B169" s="2" t="s">
        <v>262</v>
      </c>
      <c r="C169" s="21" t="s">
        <v>255</v>
      </c>
      <c r="D169" s="3">
        <v>2018</v>
      </c>
      <c r="E169" s="358" t="s">
        <v>4</v>
      </c>
      <c r="F169" s="21" t="s">
        <v>51</v>
      </c>
      <c r="G169" s="3" t="s">
        <v>256</v>
      </c>
      <c r="H169" s="3" t="s">
        <v>47</v>
      </c>
      <c r="I169" s="3" t="s">
        <v>113</v>
      </c>
      <c r="J169" s="3" t="s">
        <v>257</v>
      </c>
      <c r="K169" s="3" t="s">
        <v>258</v>
      </c>
      <c r="L169" s="7" t="s">
        <v>107</v>
      </c>
      <c r="M169" s="3" t="s">
        <v>47</v>
      </c>
      <c r="N169" s="3" t="s">
        <v>81</v>
      </c>
      <c r="O169" s="3" t="s">
        <v>259</v>
      </c>
      <c r="P169" s="3" t="s">
        <v>88</v>
      </c>
      <c r="Q169" s="3" t="s">
        <v>56</v>
      </c>
      <c r="R169" s="3" t="s">
        <v>47</v>
      </c>
      <c r="S169" s="3" t="s">
        <v>53</v>
      </c>
      <c r="T169" s="3" t="s">
        <v>53</v>
      </c>
      <c r="U169" s="3" t="s">
        <v>53</v>
      </c>
      <c r="V169" s="4" t="s">
        <v>441</v>
      </c>
      <c r="W169" s="302">
        <f>'Industries data'!P6</f>
        <v>10.16946997456099</v>
      </c>
    </row>
    <row r="170" spans="1:33" s="34" customFormat="1" ht="141.75" x14ac:dyDescent="0.25">
      <c r="A170" s="2"/>
      <c r="B170" s="2" t="s">
        <v>263</v>
      </c>
      <c r="C170" s="21" t="s">
        <v>255</v>
      </c>
      <c r="D170" s="3">
        <v>2017</v>
      </c>
      <c r="E170" s="358" t="s">
        <v>4</v>
      </c>
      <c r="F170" s="21" t="s">
        <v>51</v>
      </c>
      <c r="G170" s="3" t="s">
        <v>256</v>
      </c>
      <c r="H170" s="3" t="s">
        <v>47</v>
      </c>
      <c r="I170" s="3" t="s">
        <v>113</v>
      </c>
      <c r="J170" s="3" t="s">
        <v>257</v>
      </c>
      <c r="K170" s="3" t="s">
        <v>258</v>
      </c>
      <c r="L170" s="7" t="s">
        <v>107</v>
      </c>
      <c r="M170" s="3" t="s">
        <v>47</v>
      </c>
      <c r="N170" s="3" t="s">
        <v>81</v>
      </c>
      <c r="O170" s="3" t="s">
        <v>259</v>
      </c>
      <c r="P170" s="3" t="s">
        <v>88</v>
      </c>
      <c r="Q170" s="3" t="s">
        <v>56</v>
      </c>
      <c r="R170" s="3" t="s">
        <v>47</v>
      </c>
      <c r="S170" s="3" t="s">
        <v>53</v>
      </c>
      <c r="T170" s="3" t="s">
        <v>53</v>
      </c>
      <c r="U170" s="3" t="s">
        <v>53</v>
      </c>
      <c r="V170" s="4" t="s">
        <v>441</v>
      </c>
      <c r="W170" s="302">
        <f>'Industries data'!P7</f>
        <v>10.573361795445077</v>
      </c>
    </row>
    <row r="171" spans="1:33" s="34" customFormat="1" ht="141.75" x14ac:dyDescent="0.25">
      <c r="A171" s="2"/>
      <c r="B171" s="2" t="s">
        <v>264</v>
      </c>
      <c r="C171" s="21" t="s">
        <v>255</v>
      </c>
      <c r="D171" s="3">
        <v>2016</v>
      </c>
      <c r="E171" s="358" t="s">
        <v>4</v>
      </c>
      <c r="F171" s="21" t="s">
        <v>51</v>
      </c>
      <c r="G171" s="3" t="s">
        <v>256</v>
      </c>
      <c r="H171" s="3" t="s">
        <v>47</v>
      </c>
      <c r="I171" s="3" t="s">
        <v>113</v>
      </c>
      <c r="J171" s="3" t="s">
        <v>257</v>
      </c>
      <c r="K171" s="3" t="s">
        <v>258</v>
      </c>
      <c r="L171" s="7" t="s">
        <v>107</v>
      </c>
      <c r="M171" s="3" t="s">
        <v>47</v>
      </c>
      <c r="N171" s="3" t="s">
        <v>81</v>
      </c>
      <c r="O171" s="3" t="s">
        <v>259</v>
      </c>
      <c r="P171" s="3" t="s">
        <v>88</v>
      </c>
      <c r="Q171" s="3" t="s">
        <v>56</v>
      </c>
      <c r="R171" s="3" t="s">
        <v>47</v>
      </c>
      <c r="S171" s="3" t="s">
        <v>53</v>
      </c>
      <c r="T171" s="3" t="s">
        <v>53</v>
      </c>
      <c r="U171" s="3" t="s">
        <v>53</v>
      </c>
      <c r="V171" s="4" t="s">
        <v>441</v>
      </c>
      <c r="W171" s="302">
        <f>'Industries data'!P8</f>
        <v>10.674069719352611</v>
      </c>
    </row>
    <row r="172" spans="1:33" s="34" customFormat="1" ht="141.75" x14ac:dyDescent="0.25">
      <c r="A172" s="2"/>
      <c r="B172" s="2" t="s">
        <v>265</v>
      </c>
      <c r="C172" s="21" t="s">
        <v>255</v>
      </c>
      <c r="D172" s="3">
        <v>2015</v>
      </c>
      <c r="E172" s="358" t="s">
        <v>4</v>
      </c>
      <c r="F172" s="21" t="s">
        <v>51</v>
      </c>
      <c r="G172" s="3" t="s">
        <v>256</v>
      </c>
      <c r="H172" s="3" t="s">
        <v>47</v>
      </c>
      <c r="I172" s="3" t="s">
        <v>113</v>
      </c>
      <c r="J172" s="3" t="s">
        <v>257</v>
      </c>
      <c r="K172" s="3" t="s">
        <v>258</v>
      </c>
      <c r="L172" s="7" t="s">
        <v>107</v>
      </c>
      <c r="M172" s="3" t="s">
        <v>47</v>
      </c>
      <c r="N172" s="3" t="s">
        <v>81</v>
      </c>
      <c r="O172" s="3" t="s">
        <v>259</v>
      </c>
      <c r="P172" s="3" t="s">
        <v>88</v>
      </c>
      <c r="Q172" s="3" t="s">
        <v>56</v>
      </c>
      <c r="R172" s="3" t="s">
        <v>47</v>
      </c>
      <c r="S172" s="3" t="s">
        <v>53</v>
      </c>
      <c r="T172" s="3" t="s">
        <v>53</v>
      </c>
      <c r="U172" s="3" t="s">
        <v>53</v>
      </c>
      <c r="V172" s="4" t="s">
        <v>441</v>
      </c>
      <c r="W172" s="302">
        <f>'Industries data'!P9</f>
        <v>11.21732426849001</v>
      </c>
    </row>
    <row r="173" spans="1:33" s="34" customFormat="1" ht="141.75" x14ac:dyDescent="0.25">
      <c r="A173" s="2"/>
      <c r="B173" s="2" t="s">
        <v>266</v>
      </c>
      <c r="C173" s="21" t="s">
        <v>255</v>
      </c>
      <c r="D173" s="3">
        <v>2014</v>
      </c>
      <c r="E173" s="358" t="s">
        <v>4</v>
      </c>
      <c r="F173" s="21" t="s">
        <v>51</v>
      </c>
      <c r="G173" s="3" t="s">
        <v>256</v>
      </c>
      <c r="H173" s="3" t="s">
        <v>47</v>
      </c>
      <c r="I173" s="3" t="s">
        <v>113</v>
      </c>
      <c r="J173" s="3" t="s">
        <v>257</v>
      </c>
      <c r="K173" s="3" t="s">
        <v>258</v>
      </c>
      <c r="L173" s="7" t="s">
        <v>107</v>
      </c>
      <c r="M173" s="3" t="s">
        <v>47</v>
      </c>
      <c r="N173" s="3" t="s">
        <v>81</v>
      </c>
      <c r="O173" s="3" t="s">
        <v>259</v>
      </c>
      <c r="P173" s="3" t="s">
        <v>88</v>
      </c>
      <c r="Q173" s="3" t="s">
        <v>56</v>
      </c>
      <c r="R173" s="3" t="s">
        <v>47</v>
      </c>
      <c r="S173" s="3" t="s">
        <v>53</v>
      </c>
      <c r="T173" s="3" t="s">
        <v>53</v>
      </c>
      <c r="U173" s="3" t="s">
        <v>53</v>
      </c>
      <c r="V173" s="4" t="s">
        <v>441</v>
      </c>
      <c r="W173" s="302">
        <f>'Industries data'!P10</f>
        <v>11.999933829340595</v>
      </c>
    </row>
    <row r="174" spans="1:33" s="34" customFormat="1" ht="141.75" x14ac:dyDescent="0.25">
      <c r="A174" s="2"/>
      <c r="B174" s="2" t="s">
        <v>267</v>
      </c>
      <c r="C174" s="21" t="s">
        <v>255</v>
      </c>
      <c r="D174" s="3">
        <v>2013</v>
      </c>
      <c r="E174" s="358" t="s">
        <v>4</v>
      </c>
      <c r="F174" s="21" t="s">
        <v>51</v>
      </c>
      <c r="G174" s="3" t="s">
        <v>256</v>
      </c>
      <c r="H174" s="3" t="s">
        <v>47</v>
      </c>
      <c r="I174" s="3" t="s">
        <v>113</v>
      </c>
      <c r="J174" s="3" t="s">
        <v>257</v>
      </c>
      <c r="K174" s="3" t="s">
        <v>258</v>
      </c>
      <c r="L174" s="7" t="s">
        <v>107</v>
      </c>
      <c r="M174" s="3" t="s">
        <v>47</v>
      </c>
      <c r="N174" s="3" t="s">
        <v>81</v>
      </c>
      <c r="O174" s="3" t="s">
        <v>259</v>
      </c>
      <c r="P174" s="3" t="s">
        <v>88</v>
      </c>
      <c r="Q174" s="3" t="s">
        <v>56</v>
      </c>
      <c r="R174" s="3" t="s">
        <v>47</v>
      </c>
      <c r="S174" s="3" t="s">
        <v>53</v>
      </c>
      <c r="T174" s="3" t="s">
        <v>53</v>
      </c>
      <c r="U174" s="3" t="s">
        <v>53</v>
      </c>
      <c r="V174" s="4" t="s">
        <v>441</v>
      </c>
      <c r="W174" s="302">
        <f>'Industries data'!P11</f>
        <v>12.400464759246447</v>
      </c>
    </row>
    <row r="175" spans="1:33" s="34" customFormat="1" ht="141.75" x14ac:dyDescent="0.25">
      <c r="A175" s="2"/>
      <c r="B175" s="2" t="s">
        <v>268</v>
      </c>
      <c r="C175" s="21" t="s">
        <v>255</v>
      </c>
      <c r="D175" s="3">
        <v>2012</v>
      </c>
      <c r="E175" s="358" t="s">
        <v>4</v>
      </c>
      <c r="F175" s="21" t="s">
        <v>51</v>
      </c>
      <c r="G175" s="3" t="s">
        <v>256</v>
      </c>
      <c r="H175" s="3" t="s">
        <v>47</v>
      </c>
      <c r="I175" s="3" t="s">
        <v>113</v>
      </c>
      <c r="J175" s="3" t="s">
        <v>257</v>
      </c>
      <c r="K175" s="3" t="s">
        <v>258</v>
      </c>
      <c r="L175" s="7" t="s">
        <v>107</v>
      </c>
      <c r="M175" s="3" t="s">
        <v>47</v>
      </c>
      <c r="N175" s="3" t="s">
        <v>81</v>
      </c>
      <c r="O175" s="3" t="s">
        <v>259</v>
      </c>
      <c r="P175" s="3" t="s">
        <v>88</v>
      </c>
      <c r="Q175" s="3" t="s">
        <v>56</v>
      </c>
      <c r="R175" s="3" t="s">
        <v>47</v>
      </c>
      <c r="S175" s="3" t="s">
        <v>53</v>
      </c>
      <c r="T175" s="3" t="s">
        <v>53</v>
      </c>
      <c r="U175" s="3" t="s">
        <v>53</v>
      </c>
      <c r="V175" s="4" t="s">
        <v>441</v>
      </c>
      <c r="W175" s="302">
        <f>'Industries data'!P12</f>
        <v>13.275988857500334</v>
      </c>
    </row>
    <row r="176" spans="1:33" s="34" customFormat="1" ht="141.75" x14ac:dyDescent="0.25">
      <c r="A176" s="2"/>
      <c r="B176" s="2" t="s">
        <v>269</v>
      </c>
      <c r="C176" s="21" t="s">
        <v>255</v>
      </c>
      <c r="D176" s="3">
        <v>2011</v>
      </c>
      <c r="E176" s="358" t="s">
        <v>4</v>
      </c>
      <c r="F176" s="21" t="s">
        <v>51</v>
      </c>
      <c r="G176" s="3" t="s">
        <v>256</v>
      </c>
      <c r="H176" s="3" t="s">
        <v>47</v>
      </c>
      <c r="I176" s="3" t="s">
        <v>113</v>
      </c>
      <c r="J176" s="3" t="s">
        <v>257</v>
      </c>
      <c r="K176" s="3" t="s">
        <v>258</v>
      </c>
      <c r="L176" s="7" t="s">
        <v>107</v>
      </c>
      <c r="M176" s="3" t="s">
        <v>47</v>
      </c>
      <c r="N176" s="3" t="s">
        <v>81</v>
      </c>
      <c r="O176" s="3" t="s">
        <v>259</v>
      </c>
      <c r="P176" s="3" t="s">
        <v>88</v>
      </c>
      <c r="Q176" s="3" t="s">
        <v>56</v>
      </c>
      <c r="R176" s="3" t="s">
        <v>47</v>
      </c>
      <c r="S176" s="3" t="s">
        <v>53</v>
      </c>
      <c r="T176" s="3" t="s">
        <v>53</v>
      </c>
      <c r="U176" s="3" t="s">
        <v>53</v>
      </c>
      <c r="V176" s="4" t="s">
        <v>441</v>
      </c>
      <c r="W176" s="302">
        <f>'Industries data'!P13</f>
        <v>13.251023226581474</v>
      </c>
    </row>
    <row r="177" spans="1:33" s="344" customFormat="1" x14ac:dyDescent="0.25">
      <c r="A177" s="327"/>
      <c r="B177" s="327"/>
      <c r="C177" s="329" t="s">
        <v>168</v>
      </c>
      <c r="D177" s="328"/>
      <c r="E177" s="354"/>
      <c r="F177" s="329" t="s">
        <v>168</v>
      </c>
      <c r="G177" s="328"/>
      <c r="H177" s="328"/>
      <c r="I177" s="328"/>
      <c r="J177" s="328"/>
      <c r="K177" s="328"/>
      <c r="L177" s="342"/>
      <c r="M177" s="328"/>
      <c r="N177" s="328"/>
      <c r="O177" s="328"/>
      <c r="P177" s="328"/>
      <c r="Q177" s="328"/>
      <c r="R177" s="328"/>
      <c r="S177" s="328"/>
      <c r="T177" s="328"/>
      <c r="U177" s="328"/>
      <c r="V177" s="330"/>
      <c r="W177" s="338"/>
      <c r="X177" s="331"/>
      <c r="Y177" s="331"/>
      <c r="Z177" s="327"/>
      <c r="AA177" s="327"/>
      <c r="AB177" s="327"/>
      <c r="AC177" s="327"/>
      <c r="AD177" s="327"/>
      <c r="AE177" s="327"/>
      <c r="AF177" s="327"/>
      <c r="AG177" s="327"/>
    </row>
    <row r="178" spans="1:33" s="34" customFormat="1" ht="157.5" x14ac:dyDescent="0.25">
      <c r="A178" s="2"/>
      <c r="B178" s="2" t="s">
        <v>270</v>
      </c>
      <c r="C178" s="21" t="s">
        <v>271</v>
      </c>
      <c r="D178" s="3">
        <v>2020</v>
      </c>
      <c r="E178" s="81" t="s">
        <v>4</v>
      </c>
      <c r="F178" s="21" t="s">
        <v>51</v>
      </c>
      <c r="G178" s="3" t="s">
        <v>256</v>
      </c>
      <c r="H178" s="3" t="s">
        <v>47</v>
      </c>
      <c r="I178" s="3" t="s">
        <v>113</v>
      </c>
      <c r="J178" s="3" t="s">
        <v>257</v>
      </c>
      <c r="K178" s="3" t="s">
        <v>258</v>
      </c>
      <c r="L178" s="7" t="s">
        <v>107</v>
      </c>
      <c r="M178" s="3" t="s">
        <v>47</v>
      </c>
      <c r="N178" s="3" t="s">
        <v>81</v>
      </c>
      <c r="O178" s="3" t="s">
        <v>259</v>
      </c>
      <c r="P178" s="3" t="s">
        <v>88</v>
      </c>
      <c r="Q178" s="3" t="s">
        <v>56</v>
      </c>
      <c r="R178" s="3" t="s">
        <v>47</v>
      </c>
      <c r="S178" s="3" t="s">
        <v>53</v>
      </c>
      <c r="T178" s="3" t="s">
        <v>53</v>
      </c>
      <c r="U178" s="3" t="s">
        <v>53</v>
      </c>
      <c r="V178" s="4" t="s">
        <v>442</v>
      </c>
      <c r="W178" s="302">
        <f>'Industries data'!P15</f>
        <v>17.267174141094781</v>
      </c>
    </row>
    <row r="179" spans="1:33" s="34" customFormat="1" ht="157.5" x14ac:dyDescent="0.25">
      <c r="A179" s="2"/>
      <c r="B179" s="2" t="s">
        <v>273</v>
      </c>
      <c r="C179" s="21" t="s">
        <v>271</v>
      </c>
      <c r="D179" s="3">
        <v>2019</v>
      </c>
      <c r="E179" s="81" t="s">
        <v>4</v>
      </c>
      <c r="F179" s="21" t="s">
        <v>51</v>
      </c>
      <c r="G179" s="3" t="s">
        <v>256</v>
      </c>
      <c r="H179" s="3" t="s">
        <v>47</v>
      </c>
      <c r="I179" s="3" t="s">
        <v>113</v>
      </c>
      <c r="J179" s="3" t="s">
        <v>257</v>
      </c>
      <c r="K179" s="3" t="s">
        <v>258</v>
      </c>
      <c r="L179" s="7" t="s">
        <v>107</v>
      </c>
      <c r="M179" s="3" t="s">
        <v>47</v>
      </c>
      <c r="N179" s="3" t="s">
        <v>81</v>
      </c>
      <c r="O179" s="3" t="s">
        <v>259</v>
      </c>
      <c r="P179" s="3" t="s">
        <v>88</v>
      </c>
      <c r="Q179" s="3" t="s">
        <v>56</v>
      </c>
      <c r="R179" s="3" t="s">
        <v>47</v>
      </c>
      <c r="S179" s="3" t="s">
        <v>53</v>
      </c>
      <c r="T179" s="3" t="s">
        <v>53</v>
      </c>
      <c r="U179" s="3" t="s">
        <v>53</v>
      </c>
      <c r="V179" s="4" t="s">
        <v>442</v>
      </c>
      <c r="W179" s="302">
        <f>'Industries data'!P16</f>
        <v>15.462794069254473</v>
      </c>
    </row>
    <row r="180" spans="1:33" s="34" customFormat="1" ht="157.5" x14ac:dyDescent="0.25">
      <c r="A180" s="2"/>
      <c r="B180" s="2" t="s">
        <v>274</v>
      </c>
      <c r="C180" s="21" t="s">
        <v>271</v>
      </c>
      <c r="D180" s="3">
        <v>2018</v>
      </c>
      <c r="E180" s="81" t="s">
        <v>4</v>
      </c>
      <c r="F180" s="21" t="s">
        <v>51</v>
      </c>
      <c r="G180" s="3" t="s">
        <v>256</v>
      </c>
      <c r="H180" s="3" t="s">
        <v>47</v>
      </c>
      <c r="I180" s="3" t="s">
        <v>113</v>
      </c>
      <c r="J180" s="3" t="s">
        <v>257</v>
      </c>
      <c r="K180" s="3" t="s">
        <v>258</v>
      </c>
      <c r="L180" s="7" t="s">
        <v>107</v>
      </c>
      <c r="M180" s="3" t="s">
        <v>47</v>
      </c>
      <c r="N180" s="3" t="s">
        <v>81</v>
      </c>
      <c r="O180" s="3" t="s">
        <v>259</v>
      </c>
      <c r="P180" s="3" t="s">
        <v>88</v>
      </c>
      <c r="Q180" s="3" t="s">
        <v>56</v>
      </c>
      <c r="R180" s="3" t="s">
        <v>47</v>
      </c>
      <c r="S180" s="3" t="s">
        <v>53</v>
      </c>
      <c r="T180" s="3" t="s">
        <v>53</v>
      </c>
      <c r="U180" s="3" t="s">
        <v>53</v>
      </c>
      <c r="V180" s="4" t="s">
        <v>443</v>
      </c>
      <c r="W180" s="302">
        <f>'Industries data'!P17</f>
        <v>14.538862929190962</v>
      </c>
    </row>
    <row r="181" spans="1:33" s="34" customFormat="1" ht="157.5" x14ac:dyDescent="0.25">
      <c r="A181" s="2"/>
      <c r="B181" s="2" t="s">
        <v>276</v>
      </c>
      <c r="C181" s="21" t="s">
        <v>271</v>
      </c>
      <c r="D181" s="7">
        <v>2017</v>
      </c>
      <c r="E181" s="81" t="s">
        <v>4</v>
      </c>
      <c r="F181" s="21" t="s">
        <v>51</v>
      </c>
      <c r="G181" s="3" t="s">
        <v>256</v>
      </c>
      <c r="H181" s="3" t="s">
        <v>47</v>
      </c>
      <c r="I181" s="3" t="s">
        <v>113</v>
      </c>
      <c r="J181" s="3" t="s">
        <v>257</v>
      </c>
      <c r="K181" s="3" t="s">
        <v>258</v>
      </c>
      <c r="L181" s="7" t="s">
        <v>107</v>
      </c>
      <c r="M181" s="3" t="s">
        <v>47</v>
      </c>
      <c r="N181" s="3" t="s">
        <v>81</v>
      </c>
      <c r="O181" s="3" t="s">
        <v>259</v>
      </c>
      <c r="P181" s="3" t="s">
        <v>88</v>
      </c>
      <c r="Q181" s="3" t="s">
        <v>56</v>
      </c>
      <c r="R181" s="3" t="s">
        <v>47</v>
      </c>
      <c r="S181" s="3" t="s">
        <v>53</v>
      </c>
      <c r="T181" s="3" t="s">
        <v>53</v>
      </c>
      <c r="U181" s="3" t="s">
        <v>53</v>
      </c>
      <c r="V181" s="4" t="s">
        <v>444</v>
      </c>
      <c r="W181" s="302">
        <f>'Industries data'!P18</f>
        <v>14.500216783030785</v>
      </c>
    </row>
    <row r="182" spans="1:33" s="34" customFormat="1" ht="157.5" x14ac:dyDescent="0.25">
      <c r="A182" s="2"/>
      <c r="B182" s="2" t="s">
        <v>278</v>
      </c>
      <c r="C182" s="21" t="s">
        <v>271</v>
      </c>
      <c r="D182" s="3">
        <v>2016</v>
      </c>
      <c r="E182" s="81" t="s">
        <v>4</v>
      </c>
      <c r="F182" s="21" t="s">
        <v>51</v>
      </c>
      <c r="G182" s="3" t="s">
        <v>256</v>
      </c>
      <c r="H182" s="3" t="s">
        <v>47</v>
      </c>
      <c r="I182" s="3" t="s">
        <v>113</v>
      </c>
      <c r="J182" s="3" t="s">
        <v>257</v>
      </c>
      <c r="K182" s="3" t="s">
        <v>258</v>
      </c>
      <c r="L182" s="7" t="s">
        <v>107</v>
      </c>
      <c r="M182" s="3" t="s">
        <v>47</v>
      </c>
      <c r="N182" s="3" t="s">
        <v>81</v>
      </c>
      <c r="O182" s="3" t="s">
        <v>259</v>
      </c>
      <c r="P182" s="3" t="s">
        <v>88</v>
      </c>
      <c r="Q182" s="3" t="s">
        <v>56</v>
      </c>
      <c r="R182" s="3" t="s">
        <v>47</v>
      </c>
      <c r="S182" s="3" t="s">
        <v>53</v>
      </c>
      <c r="T182" s="3" t="s">
        <v>53</v>
      </c>
      <c r="U182" s="3" t="s">
        <v>53</v>
      </c>
      <c r="V182" s="4" t="s">
        <v>445</v>
      </c>
      <c r="W182" s="302">
        <f>'Industries data'!P19</f>
        <v>13.091760997341465</v>
      </c>
    </row>
    <row r="183" spans="1:33" s="34" customFormat="1" ht="157.5" x14ac:dyDescent="0.25">
      <c r="A183" s="2"/>
      <c r="B183" s="2" t="s">
        <v>280</v>
      </c>
      <c r="C183" s="21" t="s">
        <v>271</v>
      </c>
      <c r="D183" s="3">
        <v>2015</v>
      </c>
      <c r="E183" s="81" t="s">
        <v>4</v>
      </c>
      <c r="F183" s="21" t="s">
        <v>51</v>
      </c>
      <c r="G183" s="3" t="s">
        <v>256</v>
      </c>
      <c r="H183" s="3" t="s">
        <v>47</v>
      </c>
      <c r="I183" s="3" t="s">
        <v>113</v>
      </c>
      <c r="J183" s="3" t="s">
        <v>257</v>
      </c>
      <c r="K183" s="3" t="s">
        <v>258</v>
      </c>
      <c r="L183" s="7" t="s">
        <v>107</v>
      </c>
      <c r="M183" s="3" t="s">
        <v>47</v>
      </c>
      <c r="N183" s="3" t="s">
        <v>81</v>
      </c>
      <c r="O183" s="3" t="s">
        <v>259</v>
      </c>
      <c r="P183" s="3" t="s">
        <v>88</v>
      </c>
      <c r="Q183" s="3" t="s">
        <v>56</v>
      </c>
      <c r="R183" s="3" t="s">
        <v>47</v>
      </c>
      <c r="S183" s="3" t="s">
        <v>53</v>
      </c>
      <c r="T183" s="3" t="s">
        <v>53</v>
      </c>
      <c r="U183" s="3" t="s">
        <v>53</v>
      </c>
      <c r="V183" s="4" t="s">
        <v>445</v>
      </c>
      <c r="W183" s="302">
        <f>'Industries data'!P20</f>
        <v>13.1575487410467</v>
      </c>
    </row>
    <row r="184" spans="1:33" s="34" customFormat="1" ht="141.75" x14ac:dyDescent="0.25">
      <c r="A184" s="2"/>
      <c r="B184" s="2" t="s">
        <v>281</v>
      </c>
      <c r="C184" s="21" t="s">
        <v>271</v>
      </c>
      <c r="D184" s="3">
        <v>2014</v>
      </c>
      <c r="E184" s="81" t="s">
        <v>4</v>
      </c>
      <c r="F184" s="21" t="s">
        <v>51</v>
      </c>
      <c r="G184" s="3" t="s">
        <v>256</v>
      </c>
      <c r="H184" s="3" t="s">
        <v>47</v>
      </c>
      <c r="I184" s="3" t="s">
        <v>113</v>
      </c>
      <c r="J184" s="3" t="s">
        <v>257</v>
      </c>
      <c r="K184" s="3" t="s">
        <v>258</v>
      </c>
      <c r="L184" s="7" t="s">
        <v>107</v>
      </c>
      <c r="M184" s="3" t="s">
        <v>47</v>
      </c>
      <c r="N184" s="3" t="s">
        <v>81</v>
      </c>
      <c r="O184" s="3" t="s">
        <v>259</v>
      </c>
      <c r="P184" s="3" t="s">
        <v>88</v>
      </c>
      <c r="Q184" s="3" t="s">
        <v>56</v>
      </c>
      <c r="R184" s="3" t="s">
        <v>47</v>
      </c>
      <c r="S184" s="3" t="s">
        <v>53</v>
      </c>
      <c r="T184" s="3" t="s">
        <v>53</v>
      </c>
      <c r="U184" s="3" t="s">
        <v>53</v>
      </c>
      <c r="V184" s="4" t="s">
        <v>446</v>
      </c>
      <c r="W184" s="302">
        <f>'Industries data'!P21</f>
        <v>12.435596782781454</v>
      </c>
    </row>
    <row r="185" spans="1:33" s="34" customFormat="1" ht="141.75" x14ac:dyDescent="0.25">
      <c r="A185" s="2"/>
      <c r="B185" s="2" t="s">
        <v>283</v>
      </c>
      <c r="C185" s="21" t="s">
        <v>271</v>
      </c>
      <c r="D185" s="3">
        <v>2013</v>
      </c>
      <c r="E185" s="81" t="s">
        <v>4</v>
      </c>
      <c r="F185" s="21" t="s">
        <v>51</v>
      </c>
      <c r="G185" s="3" t="s">
        <v>256</v>
      </c>
      <c r="H185" s="3" t="s">
        <v>47</v>
      </c>
      <c r="I185" s="3" t="s">
        <v>113</v>
      </c>
      <c r="J185" s="3" t="s">
        <v>257</v>
      </c>
      <c r="K185" s="3" t="s">
        <v>258</v>
      </c>
      <c r="L185" s="7" t="s">
        <v>107</v>
      </c>
      <c r="M185" s="3" t="s">
        <v>47</v>
      </c>
      <c r="N185" s="3" t="s">
        <v>81</v>
      </c>
      <c r="O185" s="3" t="s">
        <v>259</v>
      </c>
      <c r="P185" s="3" t="s">
        <v>88</v>
      </c>
      <c r="Q185" s="3" t="s">
        <v>56</v>
      </c>
      <c r="R185" s="3" t="s">
        <v>47</v>
      </c>
      <c r="S185" s="3" t="s">
        <v>53</v>
      </c>
      <c r="T185" s="3" t="s">
        <v>53</v>
      </c>
      <c r="U185" s="3" t="s">
        <v>53</v>
      </c>
      <c r="V185" s="4" t="s">
        <v>447</v>
      </c>
      <c r="W185" s="302">
        <f>'Industries data'!P22</f>
        <v>10.508132101955225</v>
      </c>
    </row>
    <row r="186" spans="1:33" s="34" customFormat="1" ht="141.75" x14ac:dyDescent="0.25">
      <c r="A186" s="2"/>
      <c r="B186" s="2" t="s">
        <v>284</v>
      </c>
      <c r="C186" s="21" t="s">
        <v>271</v>
      </c>
      <c r="D186" s="3">
        <v>2012</v>
      </c>
      <c r="E186" s="81" t="s">
        <v>4</v>
      </c>
      <c r="F186" s="21" t="s">
        <v>51</v>
      </c>
      <c r="G186" s="3" t="s">
        <v>256</v>
      </c>
      <c r="H186" s="3" t="s">
        <v>47</v>
      </c>
      <c r="I186" s="3" t="s">
        <v>113</v>
      </c>
      <c r="J186" s="3" t="s">
        <v>257</v>
      </c>
      <c r="K186" s="3" t="s">
        <v>258</v>
      </c>
      <c r="L186" s="7" t="s">
        <v>107</v>
      </c>
      <c r="M186" s="3" t="s">
        <v>47</v>
      </c>
      <c r="N186" s="3" t="s">
        <v>81</v>
      </c>
      <c r="O186" s="3" t="s">
        <v>259</v>
      </c>
      <c r="P186" s="3" t="s">
        <v>88</v>
      </c>
      <c r="Q186" s="3" t="s">
        <v>56</v>
      </c>
      <c r="R186" s="3" t="s">
        <v>47</v>
      </c>
      <c r="S186" s="3" t="s">
        <v>53</v>
      </c>
      <c r="T186" s="3" t="s">
        <v>53</v>
      </c>
      <c r="U186" s="3" t="s">
        <v>53</v>
      </c>
      <c r="V186" s="4" t="s">
        <v>446</v>
      </c>
      <c r="W186" s="302">
        <f>'Industries data'!P23</f>
        <v>10.019751898155645</v>
      </c>
    </row>
    <row r="187" spans="1:33" s="34" customFormat="1" ht="141.75" x14ac:dyDescent="0.25">
      <c r="A187" s="2"/>
      <c r="B187" s="2" t="s">
        <v>286</v>
      </c>
      <c r="C187" s="21" t="s">
        <v>271</v>
      </c>
      <c r="D187" s="3">
        <v>2011</v>
      </c>
      <c r="E187" s="81" t="s">
        <v>4</v>
      </c>
      <c r="F187" s="21" t="s">
        <v>51</v>
      </c>
      <c r="G187" s="3" t="s">
        <v>256</v>
      </c>
      <c r="H187" s="3" t="s">
        <v>47</v>
      </c>
      <c r="I187" s="3" t="s">
        <v>113</v>
      </c>
      <c r="J187" s="3" t="s">
        <v>257</v>
      </c>
      <c r="K187" s="3" t="s">
        <v>258</v>
      </c>
      <c r="L187" s="7" t="s">
        <v>107</v>
      </c>
      <c r="M187" s="3" t="s">
        <v>47</v>
      </c>
      <c r="N187" s="3" t="s">
        <v>81</v>
      </c>
      <c r="O187" s="3" t="s">
        <v>259</v>
      </c>
      <c r="P187" s="3" t="s">
        <v>88</v>
      </c>
      <c r="Q187" s="3" t="s">
        <v>56</v>
      </c>
      <c r="R187" s="3" t="s">
        <v>47</v>
      </c>
      <c r="S187" s="3" t="s">
        <v>53</v>
      </c>
      <c r="T187" s="3" t="s">
        <v>53</v>
      </c>
      <c r="U187" s="3" t="s">
        <v>53</v>
      </c>
      <c r="V187" s="4" t="s">
        <v>447</v>
      </c>
      <c r="W187" s="302">
        <f>'Industries data'!P24</f>
        <v>9.958970690697539</v>
      </c>
    </row>
    <row r="188" spans="1:33" s="34" customFormat="1" ht="141.75" x14ac:dyDescent="0.25">
      <c r="A188" s="2"/>
      <c r="B188" s="2" t="s">
        <v>287</v>
      </c>
      <c r="C188" s="21" t="s">
        <v>271</v>
      </c>
      <c r="D188" s="3">
        <v>2010</v>
      </c>
      <c r="E188" s="81" t="s">
        <v>4</v>
      </c>
      <c r="F188" s="21" t="s">
        <v>51</v>
      </c>
      <c r="G188" s="3" t="s">
        <v>256</v>
      </c>
      <c r="H188" s="3" t="s">
        <v>47</v>
      </c>
      <c r="I188" s="3" t="s">
        <v>113</v>
      </c>
      <c r="J188" s="3" t="s">
        <v>257</v>
      </c>
      <c r="K188" s="3" t="s">
        <v>258</v>
      </c>
      <c r="L188" s="7" t="s">
        <v>107</v>
      </c>
      <c r="M188" s="3" t="s">
        <v>47</v>
      </c>
      <c r="N188" s="3" t="s">
        <v>81</v>
      </c>
      <c r="O188" s="3" t="s">
        <v>259</v>
      </c>
      <c r="P188" s="3" t="s">
        <v>88</v>
      </c>
      <c r="Q188" s="3" t="s">
        <v>56</v>
      </c>
      <c r="R188" s="3" t="s">
        <v>47</v>
      </c>
      <c r="S188" s="3" t="s">
        <v>53</v>
      </c>
      <c r="T188" s="3" t="s">
        <v>53</v>
      </c>
      <c r="U188" s="3" t="s">
        <v>53</v>
      </c>
      <c r="V188" s="4" t="s">
        <v>448</v>
      </c>
      <c r="W188" s="302">
        <f>'Industries data'!P25</f>
        <v>9.9032576937727672</v>
      </c>
    </row>
    <row r="189" spans="1:33" s="344" customFormat="1" x14ac:dyDescent="0.25">
      <c r="A189" s="327"/>
      <c r="B189" s="327"/>
      <c r="C189" s="329" t="s">
        <v>168</v>
      </c>
      <c r="D189" s="328"/>
      <c r="E189" s="354"/>
      <c r="F189" s="329" t="s">
        <v>168</v>
      </c>
      <c r="G189" s="328"/>
      <c r="H189" s="328"/>
      <c r="I189" s="328"/>
      <c r="J189" s="328"/>
      <c r="K189" s="328"/>
      <c r="L189" s="342"/>
      <c r="M189" s="328"/>
      <c r="N189" s="328"/>
      <c r="O189" s="328"/>
      <c r="P189" s="328"/>
      <c r="Q189" s="328"/>
      <c r="R189" s="328"/>
      <c r="S189" s="328"/>
      <c r="T189" s="328"/>
      <c r="U189" s="328"/>
      <c r="V189" s="330"/>
      <c r="W189" s="338"/>
      <c r="X189" s="331"/>
      <c r="Y189" s="331"/>
      <c r="Z189" s="327"/>
      <c r="AA189" s="327"/>
      <c r="AB189" s="327"/>
      <c r="AC189" s="327"/>
      <c r="AD189" s="327"/>
      <c r="AE189" s="327"/>
      <c r="AF189" s="327"/>
      <c r="AG189" s="327"/>
    </row>
    <row r="190" spans="1:33" s="34" customFormat="1" ht="126" x14ac:dyDescent="0.25">
      <c r="A190" s="2"/>
      <c r="B190" s="2" t="s">
        <v>289</v>
      </c>
      <c r="C190" s="3" t="s">
        <v>290</v>
      </c>
      <c r="D190" s="3">
        <v>2020</v>
      </c>
      <c r="E190" s="81" t="s">
        <v>4</v>
      </c>
      <c r="F190" s="3" t="s">
        <v>51</v>
      </c>
      <c r="G190" s="3" t="s">
        <v>256</v>
      </c>
      <c r="H190" s="3" t="s">
        <v>47</v>
      </c>
      <c r="I190" s="3" t="s">
        <v>113</v>
      </c>
      <c r="J190" s="3" t="s">
        <v>58</v>
      </c>
      <c r="K190" s="3" t="s">
        <v>257</v>
      </c>
      <c r="L190" s="7" t="s">
        <v>107</v>
      </c>
      <c r="M190" s="3" t="s">
        <v>47</v>
      </c>
      <c r="N190" s="3" t="s">
        <v>81</v>
      </c>
      <c r="O190" s="3" t="s">
        <v>449</v>
      </c>
      <c r="P190" s="3" t="s">
        <v>88</v>
      </c>
      <c r="Q190" s="3" t="s">
        <v>56</v>
      </c>
      <c r="R190" s="3" t="s">
        <v>47</v>
      </c>
      <c r="S190" s="3" t="s">
        <v>53</v>
      </c>
      <c r="T190" s="3" t="s">
        <v>53</v>
      </c>
      <c r="U190" s="3" t="s">
        <v>53</v>
      </c>
      <c r="V190" s="4" t="s">
        <v>450</v>
      </c>
      <c r="W190" s="302">
        <f>'Industries data'!P27</f>
        <v>12.774146077449272</v>
      </c>
    </row>
    <row r="191" spans="1:33" s="34" customFormat="1" ht="126" x14ac:dyDescent="0.25">
      <c r="A191" s="2"/>
      <c r="B191" s="2" t="s">
        <v>293</v>
      </c>
      <c r="C191" s="3" t="s">
        <v>290</v>
      </c>
      <c r="D191" s="3">
        <v>2019</v>
      </c>
      <c r="E191" s="81" t="s">
        <v>4</v>
      </c>
      <c r="F191" s="3" t="s">
        <v>51</v>
      </c>
      <c r="G191" s="3" t="s">
        <v>256</v>
      </c>
      <c r="H191" s="3" t="s">
        <v>47</v>
      </c>
      <c r="I191" s="3" t="s">
        <v>113</v>
      </c>
      <c r="J191" s="3" t="s">
        <v>58</v>
      </c>
      <c r="K191" s="3" t="s">
        <v>257</v>
      </c>
      <c r="L191" s="7" t="s">
        <v>107</v>
      </c>
      <c r="M191" s="3" t="s">
        <v>47</v>
      </c>
      <c r="N191" s="3" t="s">
        <v>81</v>
      </c>
      <c r="O191" s="3" t="s">
        <v>449</v>
      </c>
      <c r="P191" s="3" t="s">
        <v>88</v>
      </c>
      <c r="Q191" s="3" t="s">
        <v>56</v>
      </c>
      <c r="R191" s="3" t="s">
        <v>47</v>
      </c>
      <c r="S191" s="3" t="s">
        <v>53</v>
      </c>
      <c r="T191" s="3" t="s">
        <v>53</v>
      </c>
      <c r="U191" s="3" t="s">
        <v>53</v>
      </c>
      <c r="V191" s="4" t="s">
        <v>450</v>
      </c>
      <c r="W191" s="302">
        <f>'Industries data'!P28</f>
        <v>11.076212291970432</v>
      </c>
    </row>
    <row r="192" spans="1:33" s="34" customFormat="1" ht="126" x14ac:dyDescent="0.25">
      <c r="A192" s="2"/>
      <c r="B192" s="2" t="s">
        <v>294</v>
      </c>
      <c r="C192" s="3" t="s">
        <v>290</v>
      </c>
      <c r="D192" s="3">
        <v>2018</v>
      </c>
      <c r="E192" s="81" t="s">
        <v>4</v>
      </c>
      <c r="F192" s="3" t="s">
        <v>51</v>
      </c>
      <c r="G192" s="3" t="s">
        <v>256</v>
      </c>
      <c r="H192" s="3" t="s">
        <v>47</v>
      </c>
      <c r="I192" s="3" t="s">
        <v>113</v>
      </c>
      <c r="J192" s="3" t="s">
        <v>58</v>
      </c>
      <c r="K192" s="3" t="s">
        <v>257</v>
      </c>
      <c r="L192" s="7" t="s">
        <v>107</v>
      </c>
      <c r="M192" s="3" t="s">
        <v>47</v>
      </c>
      <c r="N192" s="3" t="s">
        <v>81</v>
      </c>
      <c r="O192" s="3" t="s">
        <v>449</v>
      </c>
      <c r="P192" s="3" t="s">
        <v>88</v>
      </c>
      <c r="Q192" s="3" t="s">
        <v>56</v>
      </c>
      <c r="R192" s="3" t="s">
        <v>47</v>
      </c>
      <c r="S192" s="3" t="s">
        <v>53</v>
      </c>
      <c r="T192" s="3" t="s">
        <v>53</v>
      </c>
      <c r="U192" s="3" t="s">
        <v>53</v>
      </c>
      <c r="V192" s="4" t="s">
        <v>450</v>
      </c>
      <c r="W192" s="302">
        <f>'Industries data'!P29</f>
        <v>10.549100861062525</v>
      </c>
    </row>
    <row r="193" spans="1:33" s="34" customFormat="1" ht="126" x14ac:dyDescent="0.25">
      <c r="A193" s="2"/>
      <c r="B193" s="2" t="s">
        <v>295</v>
      </c>
      <c r="C193" s="3" t="s">
        <v>290</v>
      </c>
      <c r="D193" s="3">
        <v>2017</v>
      </c>
      <c r="E193" s="81" t="s">
        <v>4</v>
      </c>
      <c r="F193" s="3" t="s">
        <v>51</v>
      </c>
      <c r="G193" s="3" t="s">
        <v>256</v>
      </c>
      <c r="H193" s="3" t="s">
        <v>47</v>
      </c>
      <c r="I193" s="3" t="s">
        <v>113</v>
      </c>
      <c r="J193" s="3" t="s">
        <v>58</v>
      </c>
      <c r="K193" s="3" t="s">
        <v>257</v>
      </c>
      <c r="L193" s="7" t="s">
        <v>107</v>
      </c>
      <c r="M193" s="3" t="s">
        <v>47</v>
      </c>
      <c r="N193" s="3" t="s">
        <v>81</v>
      </c>
      <c r="O193" s="3" t="s">
        <v>449</v>
      </c>
      <c r="P193" s="3" t="s">
        <v>88</v>
      </c>
      <c r="Q193" s="3" t="s">
        <v>56</v>
      </c>
      <c r="R193" s="3" t="s">
        <v>47</v>
      </c>
      <c r="S193" s="3" t="s">
        <v>53</v>
      </c>
      <c r="T193" s="3" t="s">
        <v>53</v>
      </c>
      <c r="U193" s="3" t="s">
        <v>53</v>
      </c>
      <c r="V193" s="4" t="s">
        <v>450</v>
      </c>
      <c r="W193" s="302">
        <f>'Industries data'!P30</f>
        <v>10.949824992395049</v>
      </c>
    </row>
    <row r="194" spans="1:33" s="34" customFormat="1" ht="126" x14ac:dyDescent="0.25">
      <c r="A194" s="2"/>
      <c r="B194" s="2" t="s">
        <v>296</v>
      </c>
      <c r="C194" s="3" t="s">
        <v>290</v>
      </c>
      <c r="D194" s="3">
        <v>2016</v>
      </c>
      <c r="E194" s="81" t="s">
        <v>4</v>
      </c>
      <c r="F194" s="3" t="s">
        <v>51</v>
      </c>
      <c r="G194" s="3" t="s">
        <v>256</v>
      </c>
      <c r="H194" s="3" t="s">
        <v>47</v>
      </c>
      <c r="I194" s="3" t="s">
        <v>113</v>
      </c>
      <c r="J194" s="3" t="s">
        <v>58</v>
      </c>
      <c r="K194" s="3" t="s">
        <v>257</v>
      </c>
      <c r="L194" s="7" t="s">
        <v>107</v>
      </c>
      <c r="M194" s="3" t="s">
        <v>47</v>
      </c>
      <c r="N194" s="3" t="s">
        <v>81</v>
      </c>
      <c r="O194" s="3" t="s">
        <v>449</v>
      </c>
      <c r="P194" s="3" t="s">
        <v>88</v>
      </c>
      <c r="Q194" s="3" t="s">
        <v>56</v>
      </c>
      <c r="R194" s="3" t="s">
        <v>47</v>
      </c>
      <c r="S194" s="3" t="s">
        <v>53</v>
      </c>
      <c r="T194" s="3" t="s">
        <v>53</v>
      </c>
      <c r="U194" s="3" t="s">
        <v>53</v>
      </c>
      <c r="V194" s="4" t="s">
        <v>450</v>
      </c>
      <c r="W194" s="302">
        <f>'Industries data'!P31</f>
        <v>12.162033776819658</v>
      </c>
    </row>
    <row r="195" spans="1:33" s="34" customFormat="1" ht="126" x14ac:dyDescent="0.25">
      <c r="A195" s="2"/>
      <c r="B195" s="2" t="s">
        <v>297</v>
      </c>
      <c r="C195" s="3" t="s">
        <v>290</v>
      </c>
      <c r="D195" s="3">
        <v>2015</v>
      </c>
      <c r="E195" s="81" t="s">
        <v>4</v>
      </c>
      <c r="F195" s="3" t="s">
        <v>51</v>
      </c>
      <c r="G195" s="3" t="s">
        <v>256</v>
      </c>
      <c r="H195" s="3" t="s">
        <v>47</v>
      </c>
      <c r="I195" s="3" t="s">
        <v>113</v>
      </c>
      <c r="J195" s="3" t="s">
        <v>58</v>
      </c>
      <c r="K195" s="3" t="s">
        <v>257</v>
      </c>
      <c r="L195" s="7" t="s">
        <v>107</v>
      </c>
      <c r="M195" s="3" t="s">
        <v>47</v>
      </c>
      <c r="N195" s="3" t="s">
        <v>81</v>
      </c>
      <c r="O195" s="3" t="s">
        <v>449</v>
      </c>
      <c r="P195" s="3" t="s">
        <v>88</v>
      </c>
      <c r="Q195" s="3" t="s">
        <v>56</v>
      </c>
      <c r="R195" s="3" t="s">
        <v>47</v>
      </c>
      <c r="S195" s="3" t="s">
        <v>53</v>
      </c>
      <c r="T195" s="3" t="s">
        <v>53</v>
      </c>
      <c r="U195" s="3" t="s">
        <v>53</v>
      </c>
      <c r="V195" s="4" t="s">
        <v>450</v>
      </c>
      <c r="W195" s="302">
        <f>'Industries data'!P32</f>
        <v>11.823243232947149</v>
      </c>
    </row>
    <row r="196" spans="1:33" s="34" customFormat="1" ht="126" x14ac:dyDescent="0.25">
      <c r="A196" s="2"/>
      <c r="B196" s="2" t="s">
        <v>298</v>
      </c>
      <c r="C196" s="3" t="s">
        <v>290</v>
      </c>
      <c r="D196" s="3">
        <v>2014</v>
      </c>
      <c r="E196" s="81" t="s">
        <v>4</v>
      </c>
      <c r="F196" s="3" t="s">
        <v>51</v>
      </c>
      <c r="G196" s="3" t="s">
        <v>256</v>
      </c>
      <c r="H196" s="3" t="s">
        <v>47</v>
      </c>
      <c r="I196" s="3" t="s">
        <v>113</v>
      </c>
      <c r="J196" s="3" t="s">
        <v>58</v>
      </c>
      <c r="K196" s="3" t="s">
        <v>257</v>
      </c>
      <c r="L196" s="7" t="s">
        <v>107</v>
      </c>
      <c r="M196" s="3" t="s">
        <v>47</v>
      </c>
      <c r="N196" s="3" t="s">
        <v>81</v>
      </c>
      <c r="O196" s="3" t="s">
        <v>449</v>
      </c>
      <c r="P196" s="3" t="s">
        <v>88</v>
      </c>
      <c r="Q196" s="3" t="s">
        <v>56</v>
      </c>
      <c r="R196" s="3" t="s">
        <v>47</v>
      </c>
      <c r="S196" s="3" t="s">
        <v>53</v>
      </c>
      <c r="T196" s="3" t="s">
        <v>53</v>
      </c>
      <c r="U196" s="3" t="s">
        <v>53</v>
      </c>
      <c r="V196" s="4" t="s">
        <v>450</v>
      </c>
      <c r="W196" s="302">
        <f>'Industries data'!P33</f>
        <v>12.061244073980035</v>
      </c>
    </row>
    <row r="197" spans="1:33" s="34" customFormat="1" ht="126" x14ac:dyDescent="0.25">
      <c r="A197" s="2"/>
      <c r="B197" s="2" t="s">
        <v>299</v>
      </c>
      <c r="C197" s="3" t="s">
        <v>290</v>
      </c>
      <c r="D197" s="3">
        <v>2013</v>
      </c>
      <c r="E197" s="81" t="s">
        <v>4</v>
      </c>
      <c r="F197" s="3" t="s">
        <v>51</v>
      </c>
      <c r="G197" s="3" t="s">
        <v>256</v>
      </c>
      <c r="H197" s="3" t="s">
        <v>47</v>
      </c>
      <c r="I197" s="3" t="s">
        <v>113</v>
      </c>
      <c r="J197" s="3" t="s">
        <v>58</v>
      </c>
      <c r="K197" s="3" t="s">
        <v>257</v>
      </c>
      <c r="L197" s="7" t="s">
        <v>107</v>
      </c>
      <c r="M197" s="3" t="s">
        <v>47</v>
      </c>
      <c r="N197" s="3" t="s">
        <v>81</v>
      </c>
      <c r="O197" s="3" t="s">
        <v>449</v>
      </c>
      <c r="P197" s="3" t="s">
        <v>88</v>
      </c>
      <c r="Q197" s="3" t="s">
        <v>56</v>
      </c>
      <c r="R197" s="3" t="s">
        <v>47</v>
      </c>
      <c r="S197" s="3" t="s">
        <v>53</v>
      </c>
      <c r="T197" s="3" t="s">
        <v>53</v>
      </c>
      <c r="U197" s="3" t="s">
        <v>53</v>
      </c>
      <c r="V197" s="4" t="s">
        <v>450</v>
      </c>
      <c r="W197" s="302">
        <f>'Industries data'!P34</f>
        <v>11.790600305417534</v>
      </c>
    </row>
    <row r="198" spans="1:33" s="34" customFormat="1" ht="126" x14ac:dyDescent="0.25">
      <c r="A198" s="2"/>
      <c r="B198" s="2" t="s">
        <v>300</v>
      </c>
      <c r="C198" s="3" t="s">
        <v>290</v>
      </c>
      <c r="D198" s="3">
        <v>2012</v>
      </c>
      <c r="E198" s="81" t="s">
        <v>4</v>
      </c>
      <c r="F198" s="3" t="s">
        <v>51</v>
      </c>
      <c r="G198" s="3" t="s">
        <v>256</v>
      </c>
      <c r="H198" s="3" t="s">
        <v>47</v>
      </c>
      <c r="I198" s="3" t="s">
        <v>113</v>
      </c>
      <c r="J198" s="3" t="s">
        <v>58</v>
      </c>
      <c r="K198" s="3" t="s">
        <v>257</v>
      </c>
      <c r="L198" s="7" t="s">
        <v>107</v>
      </c>
      <c r="M198" s="3" t="s">
        <v>47</v>
      </c>
      <c r="N198" s="3" t="s">
        <v>81</v>
      </c>
      <c r="O198" s="3" t="s">
        <v>449</v>
      </c>
      <c r="P198" s="3" t="s">
        <v>88</v>
      </c>
      <c r="Q198" s="3" t="s">
        <v>56</v>
      </c>
      <c r="R198" s="3" t="s">
        <v>47</v>
      </c>
      <c r="S198" s="3" t="s">
        <v>53</v>
      </c>
      <c r="T198" s="3" t="s">
        <v>53</v>
      </c>
      <c r="U198" s="3" t="s">
        <v>53</v>
      </c>
      <c r="V198" s="4" t="s">
        <v>450</v>
      </c>
      <c r="W198" s="302">
        <f>'Industries data'!P35</f>
        <v>12.894179571210703</v>
      </c>
    </row>
    <row r="199" spans="1:33" s="34" customFormat="1" ht="126" x14ac:dyDescent="0.25">
      <c r="A199" s="2"/>
      <c r="B199" s="2" t="s">
        <v>301</v>
      </c>
      <c r="C199" s="3" t="s">
        <v>290</v>
      </c>
      <c r="D199" s="3">
        <v>2011</v>
      </c>
      <c r="E199" s="81" t="s">
        <v>4</v>
      </c>
      <c r="F199" s="3" t="s">
        <v>51</v>
      </c>
      <c r="G199" s="3" t="s">
        <v>256</v>
      </c>
      <c r="H199" s="3" t="s">
        <v>47</v>
      </c>
      <c r="I199" s="3" t="s">
        <v>113</v>
      </c>
      <c r="J199" s="3" t="s">
        <v>58</v>
      </c>
      <c r="K199" s="3" t="s">
        <v>257</v>
      </c>
      <c r="L199" s="7" t="s">
        <v>107</v>
      </c>
      <c r="M199" s="3" t="s">
        <v>47</v>
      </c>
      <c r="N199" s="3" t="s">
        <v>81</v>
      </c>
      <c r="O199" s="3" t="s">
        <v>449</v>
      </c>
      <c r="P199" s="3" t="s">
        <v>88</v>
      </c>
      <c r="Q199" s="3" t="s">
        <v>56</v>
      </c>
      <c r="R199" s="3" t="s">
        <v>47</v>
      </c>
      <c r="S199" s="3" t="s">
        <v>53</v>
      </c>
      <c r="T199" s="3" t="s">
        <v>53</v>
      </c>
      <c r="U199" s="3" t="s">
        <v>53</v>
      </c>
      <c r="V199" s="4" t="s">
        <v>450</v>
      </c>
      <c r="W199" s="302">
        <f>'Industries data'!P36</f>
        <v>12.743940676430007</v>
      </c>
    </row>
    <row r="200" spans="1:33" s="344" customFormat="1" x14ac:dyDescent="0.25">
      <c r="A200" s="327"/>
      <c r="B200" s="327"/>
      <c r="C200" s="329" t="s">
        <v>168</v>
      </c>
      <c r="D200" s="328"/>
      <c r="E200" s="354"/>
      <c r="F200" s="329" t="s">
        <v>168</v>
      </c>
      <c r="G200" s="328"/>
      <c r="H200" s="328"/>
      <c r="I200" s="328"/>
      <c r="J200" s="328"/>
      <c r="K200" s="328"/>
      <c r="L200" s="342"/>
      <c r="M200" s="328"/>
      <c r="N200" s="328"/>
      <c r="O200" s="328"/>
      <c r="P200" s="328"/>
      <c r="Q200" s="328"/>
      <c r="R200" s="328"/>
      <c r="S200" s="328"/>
      <c r="T200" s="328"/>
      <c r="U200" s="328"/>
      <c r="V200" s="330"/>
      <c r="W200" s="338"/>
      <c r="X200" s="331"/>
      <c r="Y200" s="331"/>
      <c r="Z200" s="327"/>
      <c r="AA200" s="327"/>
      <c r="AB200" s="327"/>
      <c r="AC200" s="327"/>
      <c r="AD200" s="327"/>
      <c r="AE200" s="327"/>
      <c r="AF200" s="327"/>
      <c r="AG200" s="327"/>
    </row>
    <row r="201" spans="1:33" s="34" customFormat="1" ht="141.75" x14ac:dyDescent="0.25">
      <c r="A201" s="2"/>
      <c r="B201" s="2" t="s">
        <v>302</v>
      </c>
      <c r="C201" s="3" t="s">
        <v>302</v>
      </c>
      <c r="D201" s="3">
        <v>2020</v>
      </c>
      <c r="E201" s="81" t="s">
        <v>303</v>
      </c>
      <c r="F201" s="3" t="s">
        <v>51</v>
      </c>
      <c r="G201" s="3" t="s">
        <v>256</v>
      </c>
      <c r="H201" s="3" t="s">
        <v>47</v>
      </c>
      <c r="I201" s="3" t="s">
        <v>113</v>
      </c>
      <c r="J201" s="3" t="s">
        <v>257</v>
      </c>
      <c r="K201" s="3" t="s">
        <v>258</v>
      </c>
      <c r="L201" s="7" t="s">
        <v>107</v>
      </c>
      <c r="M201" s="3" t="s">
        <v>47</v>
      </c>
      <c r="N201" s="3" t="s">
        <v>81</v>
      </c>
      <c r="O201" s="3" t="s">
        <v>259</v>
      </c>
      <c r="P201" s="3" t="s">
        <v>88</v>
      </c>
      <c r="Q201" s="3" t="s">
        <v>56</v>
      </c>
      <c r="R201" s="3" t="s">
        <v>47</v>
      </c>
      <c r="S201" s="3" t="s">
        <v>53</v>
      </c>
      <c r="T201" s="3" t="s">
        <v>53</v>
      </c>
      <c r="U201" s="3" t="s">
        <v>53</v>
      </c>
      <c r="V201" s="4" t="s">
        <v>304</v>
      </c>
      <c r="W201" s="302">
        <f>'Industries data'!P38</f>
        <v>9.9024980863713736</v>
      </c>
    </row>
    <row r="202" spans="1:33" s="34" customFormat="1" ht="141.75" x14ac:dyDescent="0.25">
      <c r="A202" s="2"/>
      <c r="B202" s="2" t="s">
        <v>302</v>
      </c>
      <c r="C202" s="3" t="s">
        <v>302</v>
      </c>
      <c r="D202" s="3">
        <v>2019</v>
      </c>
      <c r="E202" s="81" t="s">
        <v>305</v>
      </c>
      <c r="F202" s="3" t="s">
        <v>51</v>
      </c>
      <c r="G202" s="3" t="s">
        <v>256</v>
      </c>
      <c r="H202" s="3" t="s">
        <v>47</v>
      </c>
      <c r="I202" s="3" t="s">
        <v>113</v>
      </c>
      <c r="J202" s="3" t="s">
        <v>257</v>
      </c>
      <c r="K202" s="3" t="s">
        <v>258</v>
      </c>
      <c r="L202" s="7" t="s">
        <v>107</v>
      </c>
      <c r="M202" s="3" t="s">
        <v>47</v>
      </c>
      <c r="N202" s="3" t="s">
        <v>81</v>
      </c>
      <c r="O202" s="3" t="s">
        <v>259</v>
      </c>
      <c r="P202" s="3" t="s">
        <v>88</v>
      </c>
      <c r="Q202" s="3" t="s">
        <v>56</v>
      </c>
      <c r="R202" s="3" t="s">
        <v>47</v>
      </c>
      <c r="S202" s="3" t="s">
        <v>53</v>
      </c>
      <c r="T202" s="3" t="s">
        <v>53</v>
      </c>
      <c r="U202" s="3" t="s">
        <v>53</v>
      </c>
      <c r="V202" s="4" t="s">
        <v>304</v>
      </c>
      <c r="W202" s="302">
        <f>'Industries data'!P39</f>
        <v>9.5728508268971471</v>
      </c>
    </row>
    <row r="203" spans="1:33" s="34" customFormat="1" ht="141.75" x14ac:dyDescent="0.25">
      <c r="A203" s="2"/>
      <c r="B203" s="2" t="s">
        <v>302</v>
      </c>
      <c r="C203" s="3" t="s">
        <v>302</v>
      </c>
      <c r="D203" s="3">
        <v>2018</v>
      </c>
      <c r="E203" s="81" t="s">
        <v>306</v>
      </c>
      <c r="F203" s="3" t="s">
        <v>51</v>
      </c>
      <c r="G203" s="3" t="s">
        <v>256</v>
      </c>
      <c r="H203" s="3" t="s">
        <v>47</v>
      </c>
      <c r="I203" s="3" t="s">
        <v>113</v>
      </c>
      <c r="J203" s="3" t="s">
        <v>257</v>
      </c>
      <c r="K203" s="3" t="s">
        <v>258</v>
      </c>
      <c r="L203" s="7" t="s">
        <v>107</v>
      </c>
      <c r="M203" s="3" t="s">
        <v>47</v>
      </c>
      <c r="N203" s="3" t="s">
        <v>81</v>
      </c>
      <c r="O203" s="3" t="s">
        <v>259</v>
      </c>
      <c r="P203" s="3" t="s">
        <v>88</v>
      </c>
      <c r="Q203" s="3" t="s">
        <v>56</v>
      </c>
      <c r="R203" s="3" t="s">
        <v>47</v>
      </c>
      <c r="S203" s="3" t="s">
        <v>53</v>
      </c>
      <c r="T203" s="3" t="s">
        <v>53</v>
      </c>
      <c r="U203" s="3" t="s">
        <v>53</v>
      </c>
      <c r="V203" s="4" t="s">
        <v>307</v>
      </c>
      <c r="W203" s="302">
        <f>'Industries data'!P40</f>
        <v>10.700653084550785</v>
      </c>
    </row>
    <row r="204" spans="1:33" s="34" customFormat="1" ht="141.75" x14ac:dyDescent="0.25">
      <c r="A204" s="2"/>
      <c r="B204" s="2" t="s">
        <v>302</v>
      </c>
      <c r="C204" s="3" t="s">
        <v>302</v>
      </c>
      <c r="D204" s="3">
        <v>2017</v>
      </c>
      <c r="E204" s="81" t="s">
        <v>308</v>
      </c>
      <c r="F204" s="3" t="s">
        <v>51</v>
      </c>
      <c r="G204" s="3" t="s">
        <v>256</v>
      </c>
      <c r="H204" s="3" t="s">
        <v>47</v>
      </c>
      <c r="I204" s="3" t="s">
        <v>113</v>
      </c>
      <c r="J204" s="3" t="s">
        <v>257</v>
      </c>
      <c r="K204" s="3" t="s">
        <v>258</v>
      </c>
      <c r="L204" s="7" t="s">
        <v>107</v>
      </c>
      <c r="M204" s="3" t="s">
        <v>47</v>
      </c>
      <c r="N204" s="3" t="s">
        <v>81</v>
      </c>
      <c r="O204" s="3" t="s">
        <v>259</v>
      </c>
      <c r="P204" s="3" t="s">
        <v>88</v>
      </c>
      <c r="Q204" s="3" t="s">
        <v>56</v>
      </c>
      <c r="R204" s="3" t="s">
        <v>47</v>
      </c>
      <c r="S204" s="3" t="s">
        <v>53</v>
      </c>
      <c r="T204" s="3" t="s">
        <v>53</v>
      </c>
      <c r="U204" s="3" t="s">
        <v>53</v>
      </c>
      <c r="V204" s="4" t="s">
        <v>307</v>
      </c>
      <c r="W204" s="302">
        <f>'Industries data'!P41</f>
        <v>11.538161939332261</v>
      </c>
    </row>
    <row r="205" spans="1:33" s="34" customFormat="1" ht="141.75" x14ac:dyDescent="0.25">
      <c r="A205" s="2"/>
      <c r="B205" s="2" t="s">
        <v>302</v>
      </c>
      <c r="C205" s="3" t="s">
        <v>302</v>
      </c>
      <c r="D205" s="3">
        <v>2016</v>
      </c>
      <c r="E205" s="81" t="s">
        <v>309</v>
      </c>
      <c r="F205" s="3" t="s">
        <v>51</v>
      </c>
      <c r="G205" s="3" t="s">
        <v>256</v>
      </c>
      <c r="H205" s="3" t="s">
        <v>47</v>
      </c>
      <c r="I205" s="3" t="s">
        <v>113</v>
      </c>
      <c r="J205" s="3" t="s">
        <v>257</v>
      </c>
      <c r="K205" s="3" t="s">
        <v>258</v>
      </c>
      <c r="L205" s="7" t="s">
        <v>107</v>
      </c>
      <c r="M205" s="3" t="s">
        <v>47</v>
      </c>
      <c r="N205" s="3" t="s">
        <v>81</v>
      </c>
      <c r="O205" s="3" t="s">
        <v>259</v>
      </c>
      <c r="P205" s="3" t="s">
        <v>88</v>
      </c>
      <c r="Q205" s="3" t="s">
        <v>56</v>
      </c>
      <c r="R205" s="3" t="s">
        <v>47</v>
      </c>
      <c r="S205" s="3" t="s">
        <v>53</v>
      </c>
      <c r="T205" s="3" t="s">
        <v>53</v>
      </c>
      <c r="U205" s="3" t="s">
        <v>53</v>
      </c>
      <c r="V205" s="4" t="s">
        <v>307</v>
      </c>
      <c r="W205" s="302">
        <f>'Industries data'!P42</f>
        <v>10.671066313576123</v>
      </c>
    </row>
    <row r="206" spans="1:33" s="34" customFormat="1" ht="141.75" x14ac:dyDescent="0.25">
      <c r="A206" s="2"/>
      <c r="B206" s="2" t="s">
        <v>302</v>
      </c>
      <c r="C206" s="3" t="s">
        <v>302</v>
      </c>
      <c r="D206" s="3">
        <v>2015</v>
      </c>
      <c r="E206" s="81" t="s">
        <v>310</v>
      </c>
      <c r="F206" s="3" t="s">
        <v>51</v>
      </c>
      <c r="G206" s="3" t="s">
        <v>256</v>
      </c>
      <c r="H206" s="3" t="s">
        <v>47</v>
      </c>
      <c r="I206" s="3" t="s">
        <v>113</v>
      </c>
      <c r="J206" s="3" t="s">
        <v>257</v>
      </c>
      <c r="K206" s="3" t="s">
        <v>258</v>
      </c>
      <c r="L206" s="7" t="s">
        <v>107</v>
      </c>
      <c r="M206" s="3" t="s">
        <v>47</v>
      </c>
      <c r="N206" s="3" t="s">
        <v>81</v>
      </c>
      <c r="O206" s="3" t="s">
        <v>259</v>
      </c>
      <c r="P206" s="3" t="s">
        <v>88</v>
      </c>
      <c r="Q206" s="3" t="s">
        <v>56</v>
      </c>
      <c r="R206" s="3" t="s">
        <v>47</v>
      </c>
      <c r="S206" s="3" t="s">
        <v>53</v>
      </c>
      <c r="T206" s="3" t="s">
        <v>53</v>
      </c>
      <c r="U206" s="3" t="s">
        <v>53</v>
      </c>
      <c r="V206" s="4" t="s">
        <v>307</v>
      </c>
      <c r="W206" s="302">
        <f>'Industries data'!P43</f>
        <v>10.798172484537046</v>
      </c>
    </row>
    <row r="207" spans="1:33" s="34" customFormat="1" ht="141.75" x14ac:dyDescent="0.25">
      <c r="A207" s="2"/>
      <c r="B207" s="2" t="s">
        <v>302</v>
      </c>
      <c r="C207" s="3" t="s">
        <v>302</v>
      </c>
      <c r="D207" s="3">
        <v>2014</v>
      </c>
      <c r="E207" s="81" t="s">
        <v>311</v>
      </c>
      <c r="F207" s="3" t="s">
        <v>51</v>
      </c>
      <c r="G207" s="3" t="s">
        <v>256</v>
      </c>
      <c r="H207" s="3" t="s">
        <v>47</v>
      </c>
      <c r="I207" s="3" t="s">
        <v>113</v>
      </c>
      <c r="J207" s="3" t="s">
        <v>257</v>
      </c>
      <c r="K207" s="3" t="s">
        <v>258</v>
      </c>
      <c r="L207" s="7" t="s">
        <v>107</v>
      </c>
      <c r="M207" s="3" t="s">
        <v>47</v>
      </c>
      <c r="N207" s="3" t="s">
        <v>81</v>
      </c>
      <c r="O207" s="3" t="s">
        <v>259</v>
      </c>
      <c r="P207" s="3" t="s">
        <v>88</v>
      </c>
      <c r="Q207" s="3" t="s">
        <v>56</v>
      </c>
      <c r="R207" s="3" t="s">
        <v>47</v>
      </c>
      <c r="S207" s="3" t="s">
        <v>53</v>
      </c>
      <c r="T207" s="3" t="s">
        <v>53</v>
      </c>
      <c r="U207" s="3" t="s">
        <v>53</v>
      </c>
      <c r="V207" s="4" t="s">
        <v>312</v>
      </c>
      <c r="W207" s="302">
        <f>'Industries data'!P44</f>
        <v>11.932679551770809</v>
      </c>
    </row>
    <row r="208" spans="1:33" s="34" customFormat="1" ht="141.75" x14ac:dyDescent="0.25">
      <c r="A208" s="2"/>
      <c r="B208" s="2" t="s">
        <v>302</v>
      </c>
      <c r="C208" s="3" t="s">
        <v>302</v>
      </c>
      <c r="D208" s="3">
        <v>2013</v>
      </c>
      <c r="E208" s="81" t="s">
        <v>313</v>
      </c>
      <c r="F208" s="3" t="s">
        <v>51</v>
      </c>
      <c r="G208" s="3" t="s">
        <v>256</v>
      </c>
      <c r="H208" s="3" t="s">
        <v>47</v>
      </c>
      <c r="I208" s="3" t="s">
        <v>113</v>
      </c>
      <c r="J208" s="3" t="s">
        <v>257</v>
      </c>
      <c r="K208" s="3" t="s">
        <v>258</v>
      </c>
      <c r="L208" s="7" t="s">
        <v>107</v>
      </c>
      <c r="M208" s="3" t="s">
        <v>47</v>
      </c>
      <c r="N208" s="3" t="s">
        <v>81</v>
      </c>
      <c r="O208" s="3" t="s">
        <v>259</v>
      </c>
      <c r="P208" s="3" t="s">
        <v>88</v>
      </c>
      <c r="Q208" s="3" t="s">
        <v>56</v>
      </c>
      <c r="R208" s="3" t="s">
        <v>47</v>
      </c>
      <c r="S208" s="3" t="s">
        <v>53</v>
      </c>
      <c r="T208" s="3" t="s">
        <v>53</v>
      </c>
      <c r="U208" s="3" t="s">
        <v>53</v>
      </c>
      <c r="V208" s="4" t="s">
        <v>312</v>
      </c>
      <c r="W208" s="302">
        <f>'Industries data'!P45</f>
        <v>11.8258898111532</v>
      </c>
    </row>
    <row r="209" spans="1:33" s="34" customFormat="1" ht="141.75" x14ac:dyDescent="0.25">
      <c r="A209" s="2"/>
      <c r="B209" s="2" t="s">
        <v>302</v>
      </c>
      <c r="C209" s="3" t="s">
        <v>302</v>
      </c>
      <c r="D209" s="3">
        <v>2012</v>
      </c>
      <c r="E209" s="81" t="s">
        <v>314</v>
      </c>
      <c r="F209" s="3" t="s">
        <v>51</v>
      </c>
      <c r="G209" s="3" t="s">
        <v>256</v>
      </c>
      <c r="H209" s="3" t="s">
        <v>47</v>
      </c>
      <c r="I209" s="3" t="s">
        <v>113</v>
      </c>
      <c r="J209" s="3" t="s">
        <v>257</v>
      </c>
      <c r="K209" s="3" t="s">
        <v>258</v>
      </c>
      <c r="L209" s="7" t="s">
        <v>107</v>
      </c>
      <c r="M209" s="3" t="s">
        <v>47</v>
      </c>
      <c r="N209" s="3" t="s">
        <v>81</v>
      </c>
      <c r="O209" s="3" t="s">
        <v>259</v>
      </c>
      <c r="P209" s="3" t="s">
        <v>88</v>
      </c>
      <c r="Q209" s="3" t="s">
        <v>56</v>
      </c>
      <c r="R209" s="3" t="s">
        <v>47</v>
      </c>
      <c r="S209" s="3" t="s">
        <v>53</v>
      </c>
      <c r="T209" s="3" t="s">
        <v>53</v>
      </c>
      <c r="U209" s="3" t="s">
        <v>53</v>
      </c>
      <c r="V209" s="4" t="s">
        <v>315</v>
      </c>
      <c r="W209" s="302">
        <f>'Industries data'!P46</f>
        <v>13.033942465190226</v>
      </c>
    </row>
    <row r="210" spans="1:33" s="34" customFormat="1" ht="141.75" x14ac:dyDescent="0.25">
      <c r="A210" s="2"/>
      <c r="B210" s="2" t="s">
        <v>302</v>
      </c>
      <c r="C210" s="3" t="s">
        <v>302</v>
      </c>
      <c r="D210" s="3">
        <v>2011</v>
      </c>
      <c r="E210" s="81" t="s">
        <v>314</v>
      </c>
      <c r="F210" s="3" t="s">
        <v>51</v>
      </c>
      <c r="G210" s="3" t="s">
        <v>256</v>
      </c>
      <c r="H210" s="3" t="s">
        <v>47</v>
      </c>
      <c r="I210" s="3" t="s">
        <v>113</v>
      </c>
      <c r="J210" s="3" t="s">
        <v>257</v>
      </c>
      <c r="K210" s="3" t="s">
        <v>258</v>
      </c>
      <c r="L210" s="7" t="s">
        <v>107</v>
      </c>
      <c r="M210" s="3" t="s">
        <v>47</v>
      </c>
      <c r="N210" s="3" t="s">
        <v>81</v>
      </c>
      <c r="O210" s="3" t="s">
        <v>259</v>
      </c>
      <c r="P210" s="3" t="s">
        <v>88</v>
      </c>
      <c r="Q210" s="3" t="s">
        <v>56</v>
      </c>
      <c r="R210" s="3" t="s">
        <v>47</v>
      </c>
      <c r="S210" s="3" t="s">
        <v>53</v>
      </c>
      <c r="T210" s="3" t="s">
        <v>53</v>
      </c>
      <c r="U210" s="3" t="s">
        <v>53</v>
      </c>
      <c r="V210" s="4" t="s">
        <v>315</v>
      </c>
      <c r="W210" s="302">
        <f>'Industries data'!P47</f>
        <v>17.300250515239483</v>
      </c>
    </row>
    <row r="211" spans="1:33" s="344" customFormat="1" x14ac:dyDescent="0.25">
      <c r="A211" s="327"/>
      <c r="B211" s="327"/>
      <c r="C211" s="329" t="s">
        <v>168</v>
      </c>
      <c r="D211" s="328"/>
      <c r="E211" s="354"/>
      <c r="F211" s="329" t="s">
        <v>168</v>
      </c>
      <c r="G211" s="328"/>
      <c r="H211" s="328"/>
      <c r="I211" s="328"/>
      <c r="J211" s="328"/>
      <c r="K211" s="328"/>
      <c r="L211" s="342"/>
      <c r="M211" s="328"/>
      <c r="N211" s="328"/>
      <c r="O211" s="328"/>
      <c r="P211" s="328"/>
      <c r="Q211" s="328"/>
      <c r="R211" s="328"/>
      <c r="S211" s="328"/>
      <c r="T211" s="328"/>
      <c r="U211" s="328"/>
      <c r="V211" s="330"/>
      <c r="W211" s="338"/>
      <c r="X211" s="331"/>
      <c r="Y211" s="331"/>
      <c r="Z211" s="327"/>
      <c r="AA211" s="327"/>
      <c r="AB211" s="327"/>
      <c r="AC211" s="327"/>
      <c r="AD211" s="327"/>
      <c r="AE211" s="327"/>
      <c r="AF211" s="327"/>
      <c r="AG211" s="327"/>
    </row>
    <row r="212" spans="1:33" s="34" customFormat="1" ht="141.75" x14ac:dyDescent="0.25">
      <c r="A212" s="2"/>
      <c r="B212" s="2" t="s">
        <v>316</v>
      </c>
      <c r="C212" s="3" t="s">
        <v>316</v>
      </c>
      <c r="D212" s="3">
        <v>2020</v>
      </c>
      <c r="E212" s="81" t="s">
        <v>317</v>
      </c>
      <c r="F212" s="3" t="s">
        <v>51</v>
      </c>
      <c r="G212" s="3" t="s">
        <v>256</v>
      </c>
      <c r="H212" s="3" t="s">
        <v>47</v>
      </c>
      <c r="I212" s="3" t="s">
        <v>113</v>
      </c>
      <c r="J212" s="3" t="s">
        <v>257</v>
      </c>
      <c r="K212" s="3" t="s">
        <v>258</v>
      </c>
      <c r="L212" s="7" t="s">
        <v>107</v>
      </c>
      <c r="M212" s="3" t="s">
        <v>47</v>
      </c>
      <c r="N212" s="3" t="s">
        <v>81</v>
      </c>
      <c r="O212" s="3" t="s">
        <v>318</v>
      </c>
      <c r="P212" s="3" t="s">
        <v>88</v>
      </c>
      <c r="Q212" s="3" t="s">
        <v>56</v>
      </c>
      <c r="R212" s="3" t="s">
        <v>47</v>
      </c>
      <c r="S212" s="3" t="s">
        <v>53</v>
      </c>
      <c r="T212" s="3" t="s">
        <v>53</v>
      </c>
      <c r="U212" s="3" t="s">
        <v>53</v>
      </c>
      <c r="V212" s="4" t="s">
        <v>319</v>
      </c>
      <c r="W212" s="302">
        <f>'Industries data'!P49</f>
        <v>18.935518149205617</v>
      </c>
    </row>
    <row r="213" spans="1:33" s="34" customFormat="1" ht="141.75" x14ac:dyDescent="0.25">
      <c r="A213" s="2"/>
      <c r="B213" s="2" t="s">
        <v>316</v>
      </c>
      <c r="C213" s="3" t="s">
        <v>316</v>
      </c>
      <c r="D213" s="3">
        <v>2019</v>
      </c>
      <c r="E213" s="81" t="s">
        <v>320</v>
      </c>
      <c r="F213" s="3" t="s">
        <v>51</v>
      </c>
      <c r="G213" s="3" t="s">
        <v>256</v>
      </c>
      <c r="H213" s="3" t="s">
        <v>47</v>
      </c>
      <c r="I213" s="3" t="s">
        <v>113</v>
      </c>
      <c r="J213" s="3" t="s">
        <v>257</v>
      </c>
      <c r="K213" s="3" t="s">
        <v>258</v>
      </c>
      <c r="L213" s="7" t="s">
        <v>107</v>
      </c>
      <c r="M213" s="3" t="s">
        <v>47</v>
      </c>
      <c r="N213" s="3" t="s">
        <v>81</v>
      </c>
      <c r="O213" s="3" t="s">
        <v>318</v>
      </c>
      <c r="P213" s="3" t="s">
        <v>88</v>
      </c>
      <c r="Q213" s="3" t="s">
        <v>56</v>
      </c>
      <c r="R213" s="3" t="s">
        <v>47</v>
      </c>
      <c r="S213" s="3" t="s">
        <v>53</v>
      </c>
      <c r="T213" s="3" t="s">
        <v>53</v>
      </c>
      <c r="U213" s="3" t="s">
        <v>53</v>
      </c>
      <c r="V213" s="4" t="s">
        <v>319</v>
      </c>
      <c r="W213" s="302">
        <f>'Industries data'!P50</f>
        <v>21.698667101352459</v>
      </c>
    </row>
    <row r="214" spans="1:33" s="34" customFormat="1" ht="141.75" x14ac:dyDescent="0.25">
      <c r="A214" s="2"/>
      <c r="B214" s="2" t="s">
        <v>316</v>
      </c>
      <c r="C214" s="3" t="s">
        <v>316</v>
      </c>
      <c r="D214" s="3">
        <v>2018</v>
      </c>
      <c r="E214" s="81" t="s">
        <v>321</v>
      </c>
      <c r="F214" s="3" t="s">
        <v>51</v>
      </c>
      <c r="G214" s="3" t="s">
        <v>256</v>
      </c>
      <c r="H214" s="3" t="s">
        <v>47</v>
      </c>
      <c r="I214" s="3" t="s">
        <v>113</v>
      </c>
      <c r="J214" s="3" t="s">
        <v>257</v>
      </c>
      <c r="K214" s="3" t="s">
        <v>258</v>
      </c>
      <c r="L214" s="7" t="s">
        <v>107</v>
      </c>
      <c r="M214" s="3" t="s">
        <v>47</v>
      </c>
      <c r="N214" s="3" t="s">
        <v>81</v>
      </c>
      <c r="O214" s="3" t="s">
        <v>318</v>
      </c>
      <c r="P214" s="3" t="s">
        <v>88</v>
      </c>
      <c r="Q214" s="3" t="s">
        <v>56</v>
      </c>
      <c r="R214" s="3" t="s">
        <v>47</v>
      </c>
      <c r="S214" s="3" t="s">
        <v>53</v>
      </c>
      <c r="T214" s="3" t="s">
        <v>53</v>
      </c>
      <c r="U214" s="3" t="s">
        <v>53</v>
      </c>
      <c r="V214" s="4" t="s">
        <v>322</v>
      </c>
      <c r="W214" s="302">
        <f>'Industries data'!P51</f>
        <v>20.612401855410504</v>
      </c>
    </row>
    <row r="215" spans="1:33" s="34" customFormat="1" ht="141.75" x14ac:dyDescent="0.25">
      <c r="A215" s="2"/>
      <c r="B215" s="2" t="s">
        <v>316</v>
      </c>
      <c r="C215" s="3" t="s">
        <v>316</v>
      </c>
      <c r="D215" s="3">
        <v>2017</v>
      </c>
      <c r="E215" s="81" t="s">
        <v>323</v>
      </c>
      <c r="F215" s="3" t="s">
        <v>51</v>
      </c>
      <c r="G215" s="3" t="s">
        <v>256</v>
      </c>
      <c r="H215" s="3" t="s">
        <v>47</v>
      </c>
      <c r="I215" s="3" t="s">
        <v>113</v>
      </c>
      <c r="J215" s="3" t="s">
        <v>257</v>
      </c>
      <c r="K215" s="3" t="s">
        <v>258</v>
      </c>
      <c r="L215" s="7" t="s">
        <v>107</v>
      </c>
      <c r="M215" s="3" t="s">
        <v>47</v>
      </c>
      <c r="N215" s="3" t="s">
        <v>81</v>
      </c>
      <c r="O215" s="3" t="s">
        <v>318</v>
      </c>
      <c r="P215" s="3" t="s">
        <v>88</v>
      </c>
      <c r="Q215" s="3" t="s">
        <v>56</v>
      </c>
      <c r="R215" s="3" t="s">
        <v>47</v>
      </c>
      <c r="S215" s="3" t="s">
        <v>53</v>
      </c>
      <c r="T215" s="3" t="s">
        <v>53</v>
      </c>
      <c r="U215" s="3" t="s">
        <v>53</v>
      </c>
      <c r="V215" s="4" t="s">
        <v>324</v>
      </c>
      <c r="W215" s="302">
        <f>'Industries data'!P52</f>
        <v>20.882285026259758</v>
      </c>
    </row>
    <row r="216" spans="1:33" s="34" customFormat="1" ht="141.75" x14ac:dyDescent="0.25">
      <c r="A216" s="2"/>
      <c r="B216" s="2" t="s">
        <v>316</v>
      </c>
      <c r="C216" s="3" t="s">
        <v>316</v>
      </c>
      <c r="D216" s="3">
        <v>2016</v>
      </c>
      <c r="E216" s="81" t="s">
        <v>325</v>
      </c>
      <c r="F216" s="3" t="s">
        <v>51</v>
      </c>
      <c r="G216" s="3" t="s">
        <v>256</v>
      </c>
      <c r="H216" s="3" t="s">
        <v>47</v>
      </c>
      <c r="I216" s="3" t="s">
        <v>113</v>
      </c>
      <c r="J216" s="3" t="s">
        <v>257</v>
      </c>
      <c r="K216" s="3" t="s">
        <v>258</v>
      </c>
      <c r="L216" s="7" t="s">
        <v>107</v>
      </c>
      <c r="M216" s="3" t="s">
        <v>47</v>
      </c>
      <c r="N216" s="3" t="s">
        <v>81</v>
      </c>
      <c r="O216" s="3" t="s">
        <v>318</v>
      </c>
      <c r="P216" s="3" t="s">
        <v>88</v>
      </c>
      <c r="Q216" s="3" t="s">
        <v>56</v>
      </c>
      <c r="R216" s="3" t="s">
        <v>47</v>
      </c>
      <c r="S216" s="3" t="s">
        <v>53</v>
      </c>
      <c r="T216" s="3" t="s">
        <v>53</v>
      </c>
      <c r="U216" s="3" t="s">
        <v>53</v>
      </c>
      <c r="V216" s="4" t="s">
        <v>324</v>
      </c>
      <c r="W216" s="302">
        <f>'Industries data'!P53</f>
        <v>23.446776169835523</v>
      </c>
    </row>
    <row r="217" spans="1:33" s="34" customFormat="1" ht="141.75" x14ac:dyDescent="0.25">
      <c r="A217" s="2"/>
      <c r="B217" s="2" t="s">
        <v>316</v>
      </c>
      <c r="C217" s="3" t="s">
        <v>316</v>
      </c>
      <c r="D217" s="3">
        <v>2015</v>
      </c>
      <c r="E217" s="81" t="s">
        <v>325</v>
      </c>
      <c r="F217" s="3" t="s">
        <v>51</v>
      </c>
      <c r="G217" s="3" t="s">
        <v>256</v>
      </c>
      <c r="H217" s="3" t="s">
        <v>47</v>
      </c>
      <c r="I217" s="3" t="s">
        <v>113</v>
      </c>
      <c r="J217" s="3" t="s">
        <v>257</v>
      </c>
      <c r="K217" s="3" t="s">
        <v>258</v>
      </c>
      <c r="L217" s="7" t="s">
        <v>107</v>
      </c>
      <c r="M217" s="3" t="s">
        <v>47</v>
      </c>
      <c r="N217" s="3" t="s">
        <v>81</v>
      </c>
      <c r="O217" s="3" t="s">
        <v>318</v>
      </c>
      <c r="P217" s="3" t="s">
        <v>88</v>
      </c>
      <c r="Q217" s="3" t="s">
        <v>56</v>
      </c>
      <c r="R217" s="3" t="s">
        <v>47</v>
      </c>
      <c r="S217" s="3" t="s">
        <v>53</v>
      </c>
      <c r="T217" s="3" t="s">
        <v>53</v>
      </c>
      <c r="U217" s="3" t="s">
        <v>53</v>
      </c>
      <c r="V217" s="4" t="s">
        <v>324</v>
      </c>
      <c r="W217" s="302">
        <f>'Industries data'!P54</f>
        <v>25.644911435757599</v>
      </c>
    </row>
    <row r="218" spans="1:33" s="34" customFormat="1" ht="141.75" x14ac:dyDescent="0.25">
      <c r="A218" s="2"/>
      <c r="B218" s="2" t="s">
        <v>316</v>
      </c>
      <c r="C218" s="3" t="s">
        <v>316</v>
      </c>
      <c r="D218" s="3">
        <v>2014</v>
      </c>
      <c r="E218" s="81" t="s">
        <v>326</v>
      </c>
      <c r="F218" s="3" t="s">
        <v>51</v>
      </c>
      <c r="G218" s="3" t="s">
        <v>256</v>
      </c>
      <c r="H218" s="3" t="s">
        <v>47</v>
      </c>
      <c r="I218" s="3" t="s">
        <v>113</v>
      </c>
      <c r="J218" s="3" t="s">
        <v>257</v>
      </c>
      <c r="K218" s="3" t="s">
        <v>258</v>
      </c>
      <c r="L218" s="7" t="s">
        <v>107</v>
      </c>
      <c r="M218" s="3" t="s">
        <v>47</v>
      </c>
      <c r="N218" s="3" t="s">
        <v>81</v>
      </c>
      <c r="O218" s="3" t="s">
        <v>318</v>
      </c>
      <c r="P218" s="3" t="s">
        <v>88</v>
      </c>
      <c r="Q218" s="3" t="s">
        <v>56</v>
      </c>
      <c r="R218" s="3" t="s">
        <v>47</v>
      </c>
      <c r="S218" s="3" t="s">
        <v>53</v>
      </c>
      <c r="T218" s="3" t="s">
        <v>53</v>
      </c>
      <c r="U218" s="3" t="s">
        <v>53</v>
      </c>
      <c r="V218" s="4" t="s">
        <v>327</v>
      </c>
      <c r="W218" s="302">
        <f>'Industries data'!P55</f>
        <v>21.614996781567118</v>
      </c>
    </row>
    <row r="219" spans="1:33" s="34" customFormat="1" ht="141.75" x14ac:dyDescent="0.25">
      <c r="A219" s="2"/>
      <c r="B219" s="2" t="s">
        <v>316</v>
      </c>
      <c r="C219" s="3" t="s">
        <v>316</v>
      </c>
      <c r="D219" s="3">
        <v>2013</v>
      </c>
      <c r="E219" s="81" t="s">
        <v>326</v>
      </c>
      <c r="F219" s="3" t="s">
        <v>51</v>
      </c>
      <c r="G219" s="3" t="s">
        <v>256</v>
      </c>
      <c r="H219" s="3" t="s">
        <v>47</v>
      </c>
      <c r="I219" s="3" t="s">
        <v>113</v>
      </c>
      <c r="J219" s="3" t="s">
        <v>257</v>
      </c>
      <c r="K219" s="3" t="s">
        <v>258</v>
      </c>
      <c r="L219" s="7" t="s">
        <v>107</v>
      </c>
      <c r="M219" s="3" t="s">
        <v>47</v>
      </c>
      <c r="N219" s="3" t="s">
        <v>81</v>
      </c>
      <c r="O219" s="3" t="s">
        <v>318</v>
      </c>
      <c r="P219" s="3" t="s">
        <v>88</v>
      </c>
      <c r="Q219" s="3" t="s">
        <v>56</v>
      </c>
      <c r="R219" s="3" t="s">
        <v>47</v>
      </c>
      <c r="S219" s="3" t="s">
        <v>53</v>
      </c>
      <c r="T219" s="3" t="s">
        <v>53</v>
      </c>
      <c r="U219" s="3" t="s">
        <v>53</v>
      </c>
      <c r="V219" s="4" t="s">
        <v>327</v>
      </c>
      <c r="W219" s="302">
        <f>'Industries data'!P56</f>
        <v>17.951438005030315</v>
      </c>
    </row>
    <row r="220" spans="1:33" s="34" customFormat="1" ht="141.75" x14ac:dyDescent="0.25">
      <c r="A220" s="2"/>
      <c r="B220" s="2" t="s">
        <v>316</v>
      </c>
      <c r="C220" s="3" t="s">
        <v>316</v>
      </c>
      <c r="D220" s="3">
        <v>2012</v>
      </c>
      <c r="E220" s="81" t="s">
        <v>328</v>
      </c>
      <c r="F220" s="3" t="s">
        <v>51</v>
      </c>
      <c r="G220" s="3" t="s">
        <v>256</v>
      </c>
      <c r="H220" s="3" t="s">
        <v>47</v>
      </c>
      <c r="I220" s="3" t="s">
        <v>113</v>
      </c>
      <c r="J220" s="3" t="s">
        <v>257</v>
      </c>
      <c r="K220" s="3" t="s">
        <v>258</v>
      </c>
      <c r="L220" s="7" t="s">
        <v>107</v>
      </c>
      <c r="M220" s="3" t="s">
        <v>47</v>
      </c>
      <c r="N220" s="3" t="s">
        <v>81</v>
      </c>
      <c r="O220" s="3" t="s">
        <v>318</v>
      </c>
      <c r="P220" s="3" t="s">
        <v>88</v>
      </c>
      <c r="Q220" s="3" t="s">
        <v>56</v>
      </c>
      <c r="R220" s="3" t="s">
        <v>47</v>
      </c>
      <c r="S220" s="3" t="s">
        <v>53</v>
      </c>
      <c r="T220" s="3" t="s">
        <v>53</v>
      </c>
      <c r="U220" s="3" t="s">
        <v>53</v>
      </c>
      <c r="V220" s="4" t="s">
        <v>329</v>
      </c>
      <c r="W220" s="302">
        <f>'Industries data'!P57</f>
        <v>17.585082127376641</v>
      </c>
    </row>
    <row r="221" spans="1:33" s="34" customFormat="1" ht="141.75" x14ac:dyDescent="0.25">
      <c r="A221" s="2"/>
      <c r="B221" s="2" t="s">
        <v>316</v>
      </c>
      <c r="C221" s="3" t="s">
        <v>316</v>
      </c>
      <c r="D221" s="3">
        <v>2011</v>
      </c>
      <c r="E221" s="81" t="s">
        <v>328</v>
      </c>
      <c r="F221" s="3" t="s">
        <v>51</v>
      </c>
      <c r="G221" s="3" t="s">
        <v>256</v>
      </c>
      <c r="H221" s="3" t="s">
        <v>47</v>
      </c>
      <c r="I221" s="3" t="s">
        <v>113</v>
      </c>
      <c r="J221" s="3" t="s">
        <v>257</v>
      </c>
      <c r="K221" s="3" t="s">
        <v>258</v>
      </c>
      <c r="L221" s="7" t="s">
        <v>107</v>
      </c>
      <c r="M221" s="3" t="s">
        <v>47</v>
      </c>
      <c r="N221" s="3" t="s">
        <v>81</v>
      </c>
      <c r="O221" s="3" t="s">
        <v>318</v>
      </c>
      <c r="P221" s="3" t="s">
        <v>88</v>
      </c>
      <c r="Q221" s="3" t="s">
        <v>56</v>
      </c>
      <c r="R221" s="3" t="s">
        <v>47</v>
      </c>
      <c r="S221" s="3" t="s">
        <v>53</v>
      </c>
      <c r="T221" s="3" t="s">
        <v>53</v>
      </c>
      <c r="U221" s="3" t="s">
        <v>53</v>
      </c>
      <c r="V221" s="4" t="s">
        <v>327</v>
      </c>
      <c r="W221" s="302">
        <f>'Industries data'!P58</f>
        <v>16.119658616761921</v>
      </c>
    </row>
    <row r="222" spans="1:33" s="345" customFormat="1" x14ac:dyDescent="0.25">
      <c r="A222" s="336"/>
      <c r="B222" s="336"/>
      <c r="C222" s="249"/>
      <c r="D222" s="249"/>
      <c r="E222" s="249"/>
      <c r="F222" s="249"/>
      <c r="G222" s="249"/>
      <c r="H222" s="249"/>
      <c r="I222" s="249"/>
      <c r="J222" s="249"/>
      <c r="K222" s="249"/>
      <c r="L222" s="249"/>
      <c r="M222" s="249"/>
      <c r="N222" s="249"/>
      <c r="O222" s="249"/>
      <c r="P222" s="249"/>
      <c r="Q222" s="249"/>
      <c r="R222" s="249"/>
      <c r="S222" s="249"/>
      <c r="T222" s="249"/>
      <c r="U222" s="249"/>
      <c r="V222" s="336"/>
      <c r="W222" s="340"/>
      <c r="X222" s="336"/>
      <c r="Y222" s="336"/>
      <c r="Z222" s="336"/>
      <c r="AA222" s="336"/>
      <c r="AB222" s="336"/>
      <c r="AC222" s="336"/>
      <c r="AD222" s="336"/>
      <c r="AE222" s="326"/>
      <c r="AF222" s="326"/>
      <c r="AG222" s="326"/>
    </row>
    <row r="223" spans="1:33" s="34" customFormat="1" ht="78.75" x14ac:dyDescent="0.25">
      <c r="A223" s="2"/>
      <c r="B223" s="2" t="s">
        <v>330</v>
      </c>
      <c r="C223" s="3" t="s">
        <v>331</v>
      </c>
      <c r="D223" s="7">
        <v>2013</v>
      </c>
      <c r="E223" s="81" t="s">
        <v>332</v>
      </c>
      <c r="F223" s="3" t="s">
        <v>57</v>
      </c>
      <c r="G223" s="7" t="s">
        <v>74</v>
      </c>
      <c r="H223" s="7" t="s">
        <v>47</v>
      </c>
      <c r="I223" s="7" t="s">
        <v>113</v>
      </c>
      <c r="J223" s="7" t="s">
        <v>74</v>
      </c>
      <c r="K223" s="7">
        <v>300</v>
      </c>
      <c r="L223" s="7" t="s">
        <v>113</v>
      </c>
      <c r="M223" s="7" t="s">
        <v>77</v>
      </c>
      <c r="N223" s="7" t="s">
        <v>74</v>
      </c>
      <c r="O223" s="7" t="s">
        <v>74</v>
      </c>
      <c r="P223" s="7" t="s">
        <v>88</v>
      </c>
      <c r="Q223" s="7" t="s">
        <v>74</v>
      </c>
      <c r="R223" s="35" t="s">
        <v>74</v>
      </c>
      <c r="S223" s="35" t="s">
        <v>53</v>
      </c>
      <c r="T223" s="7" t="s">
        <v>53</v>
      </c>
      <c r="U223" s="7" t="s">
        <v>47</v>
      </c>
      <c r="V223" s="4" t="s">
        <v>451</v>
      </c>
      <c r="W223" s="302">
        <f>'ITRS data'!T21</f>
        <v>9</v>
      </c>
      <c r="X223" s="2"/>
      <c r="Y223" s="2"/>
      <c r="Z223" s="2"/>
      <c r="AA223" s="2"/>
      <c r="AB223" s="2"/>
      <c r="AC223" s="2"/>
      <c r="AD223" s="2"/>
      <c r="AE223" s="2"/>
      <c r="AF223" s="2"/>
      <c r="AG223" s="2"/>
    </row>
    <row r="224" spans="1:33" s="34" customFormat="1" ht="78.75" x14ac:dyDescent="0.25">
      <c r="A224" s="2"/>
      <c r="B224" s="2" t="s">
        <v>330</v>
      </c>
      <c r="C224" s="3" t="s">
        <v>331</v>
      </c>
      <c r="D224" s="7">
        <v>2014</v>
      </c>
      <c r="E224" s="81" t="s">
        <v>332</v>
      </c>
      <c r="F224" s="3" t="s">
        <v>57</v>
      </c>
      <c r="G224" s="7" t="s">
        <v>74</v>
      </c>
      <c r="H224" s="7" t="s">
        <v>47</v>
      </c>
      <c r="I224" s="7" t="s">
        <v>113</v>
      </c>
      <c r="J224" s="7" t="s">
        <v>74</v>
      </c>
      <c r="K224" s="7">
        <v>300</v>
      </c>
      <c r="L224" s="7" t="s">
        <v>113</v>
      </c>
      <c r="M224" s="7" t="s">
        <v>77</v>
      </c>
      <c r="N224" s="7" t="s">
        <v>74</v>
      </c>
      <c r="O224" s="7" t="s">
        <v>74</v>
      </c>
      <c r="P224" s="7" t="s">
        <v>88</v>
      </c>
      <c r="Q224" s="7" t="s">
        <v>74</v>
      </c>
      <c r="R224" s="35" t="s">
        <v>74</v>
      </c>
      <c r="S224" s="35" t="s">
        <v>53</v>
      </c>
      <c r="T224" s="7" t="s">
        <v>53</v>
      </c>
      <c r="U224" s="7" t="s">
        <v>47</v>
      </c>
      <c r="V224" s="4" t="s">
        <v>451</v>
      </c>
      <c r="W224" s="302">
        <f>'ITRS data'!T22</f>
        <v>9</v>
      </c>
      <c r="X224" s="2"/>
      <c r="Y224" s="2"/>
      <c r="Z224" s="2"/>
      <c r="AA224" s="2"/>
      <c r="AB224" s="2"/>
      <c r="AC224" s="2"/>
      <c r="AD224" s="2"/>
      <c r="AE224" s="2"/>
      <c r="AF224" s="2"/>
      <c r="AG224" s="2"/>
    </row>
    <row r="225" spans="1:33" s="34" customFormat="1" ht="78.75" x14ac:dyDescent="0.25">
      <c r="A225" s="2"/>
      <c r="B225" s="2" t="s">
        <v>330</v>
      </c>
      <c r="C225" s="3" t="s">
        <v>331</v>
      </c>
      <c r="D225" s="7">
        <v>2015</v>
      </c>
      <c r="E225" s="81" t="s">
        <v>332</v>
      </c>
      <c r="F225" s="3" t="s">
        <v>57</v>
      </c>
      <c r="G225" s="7" t="s">
        <v>74</v>
      </c>
      <c r="H225" s="7" t="s">
        <v>47</v>
      </c>
      <c r="I225" s="7" t="s">
        <v>113</v>
      </c>
      <c r="J225" s="7" t="s">
        <v>74</v>
      </c>
      <c r="K225" s="7">
        <v>300</v>
      </c>
      <c r="L225" s="7" t="s">
        <v>113</v>
      </c>
      <c r="M225" s="7" t="s">
        <v>77</v>
      </c>
      <c r="N225" s="7" t="s">
        <v>74</v>
      </c>
      <c r="O225" s="7" t="s">
        <v>74</v>
      </c>
      <c r="P225" s="7" t="s">
        <v>88</v>
      </c>
      <c r="Q225" s="7" t="s">
        <v>74</v>
      </c>
      <c r="R225" s="35" t="s">
        <v>74</v>
      </c>
      <c r="S225" s="35" t="s">
        <v>53</v>
      </c>
      <c r="T225" s="7" t="s">
        <v>53</v>
      </c>
      <c r="U225" s="7" t="s">
        <v>47</v>
      </c>
      <c r="V225" s="4" t="s">
        <v>451</v>
      </c>
      <c r="W225" s="302">
        <f>'ITRS data'!T23</f>
        <v>9</v>
      </c>
      <c r="X225" s="2"/>
      <c r="Y225" s="2"/>
      <c r="Z225" s="2"/>
      <c r="AA225" s="2"/>
      <c r="AB225" s="2"/>
      <c r="AC225" s="2"/>
      <c r="AD225" s="2"/>
      <c r="AE225" s="2"/>
      <c r="AF225" s="2"/>
      <c r="AG225" s="2"/>
    </row>
    <row r="226" spans="1:33" s="34" customFormat="1" ht="78.75" x14ac:dyDescent="0.25">
      <c r="A226" s="2"/>
      <c r="B226" s="2" t="s">
        <v>330</v>
      </c>
      <c r="C226" s="3" t="s">
        <v>331</v>
      </c>
      <c r="D226" s="7">
        <v>2016</v>
      </c>
      <c r="E226" s="81" t="s">
        <v>332</v>
      </c>
      <c r="F226" s="3" t="s">
        <v>57</v>
      </c>
      <c r="G226" s="7" t="s">
        <v>74</v>
      </c>
      <c r="H226" s="7" t="s">
        <v>47</v>
      </c>
      <c r="I226" s="7" t="s">
        <v>113</v>
      </c>
      <c r="J226" s="7" t="s">
        <v>74</v>
      </c>
      <c r="K226" s="7">
        <v>300</v>
      </c>
      <c r="L226" s="7" t="s">
        <v>113</v>
      </c>
      <c r="M226" s="7" t="s">
        <v>77</v>
      </c>
      <c r="N226" s="7" t="s">
        <v>74</v>
      </c>
      <c r="O226" s="7" t="s">
        <v>74</v>
      </c>
      <c r="P226" s="7" t="s">
        <v>88</v>
      </c>
      <c r="Q226" s="7" t="s">
        <v>74</v>
      </c>
      <c r="R226" s="35" t="s">
        <v>74</v>
      </c>
      <c r="S226" s="35" t="s">
        <v>53</v>
      </c>
      <c r="T226" s="7" t="s">
        <v>53</v>
      </c>
      <c r="U226" s="7" t="s">
        <v>47</v>
      </c>
      <c r="V226" s="4" t="s">
        <v>451</v>
      </c>
      <c r="W226" s="302">
        <f>'ITRS data'!T24</f>
        <v>8.1</v>
      </c>
      <c r="X226" s="2"/>
      <c r="Y226" s="2"/>
      <c r="Z226" s="2"/>
      <c r="AA226" s="2"/>
      <c r="AB226" s="2"/>
      <c r="AC226" s="2"/>
      <c r="AD226" s="2"/>
      <c r="AE226" s="2"/>
      <c r="AF226" s="2"/>
      <c r="AG226" s="2"/>
    </row>
    <row r="227" spans="1:33" s="34" customFormat="1" ht="78.75" x14ac:dyDescent="0.25">
      <c r="A227" s="2"/>
      <c r="B227" s="2" t="s">
        <v>330</v>
      </c>
      <c r="C227" s="3" t="s">
        <v>331</v>
      </c>
      <c r="D227" s="7">
        <v>2017</v>
      </c>
      <c r="E227" s="81" t="s">
        <v>332</v>
      </c>
      <c r="F227" s="3" t="s">
        <v>57</v>
      </c>
      <c r="G227" s="7" t="s">
        <v>74</v>
      </c>
      <c r="H227" s="7" t="s">
        <v>47</v>
      </c>
      <c r="I227" s="7" t="s">
        <v>113</v>
      </c>
      <c r="J227" s="7" t="s">
        <v>74</v>
      </c>
      <c r="K227" s="7">
        <v>300</v>
      </c>
      <c r="L227" s="7" t="s">
        <v>113</v>
      </c>
      <c r="M227" s="7" t="s">
        <v>77</v>
      </c>
      <c r="N227" s="7" t="s">
        <v>74</v>
      </c>
      <c r="O227" s="7" t="s">
        <v>74</v>
      </c>
      <c r="P227" s="7" t="s">
        <v>88</v>
      </c>
      <c r="Q227" s="7" t="s">
        <v>74</v>
      </c>
      <c r="R227" s="35" t="s">
        <v>74</v>
      </c>
      <c r="S227" s="35" t="s">
        <v>53</v>
      </c>
      <c r="T227" s="7" t="s">
        <v>53</v>
      </c>
      <c r="U227" s="7" t="s">
        <v>47</v>
      </c>
      <c r="V227" s="4" t="s">
        <v>451</v>
      </c>
      <c r="W227" s="302">
        <f>'ITRS data'!T25</f>
        <v>8.1</v>
      </c>
      <c r="X227" s="2"/>
      <c r="Y227" s="2"/>
      <c r="Z227" s="2"/>
      <c r="AA227" s="2"/>
      <c r="AB227" s="2"/>
      <c r="AC227" s="2"/>
      <c r="AD227" s="2"/>
      <c r="AE227" s="2"/>
      <c r="AF227" s="2"/>
      <c r="AG227" s="2"/>
    </row>
    <row r="228" spans="1:33" s="34" customFormat="1" ht="78.75" x14ac:dyDescent="0.25">
      <c r="A228" s="2"/>
      <c r="B228" s="2" t="s">
        <v>330</v>
      </c>
      <c r="C228" s="3" t="s">
        <v>331</v>
      </c>
      <c r="D228" s="7">
        <v>2018</v>
      </c>
      <c r="E228" s="81" t="s">
        <v>332</v>
      </c>
      <c r="F228" s="3" t="s">
        <v>57</v>
      </c>
      <c r="G228" s="7" t="s">
        <v>74</v>
      </c>
      <c r="H228" s="7" t="s">
        <v>47</v>
      </c>
      <c r="I228" s="7" t="s">
        <v>113</v>
      </c>
      <c r="J228" s="7" t="s">
        <v>74</v>
      </c>
      <c r="K228" s="7">
        <v>300</v>
      </c>
      <c r="L228" s="7" t="s">
        <v>113</v>
      </c>
      <c r="M228" s="7" t="s">
        <v>77</v>
      </c>
      <c r="N228" s="7" t="s">
        <v>74</v>
      </c>
      <c r="O228" s="7" t="s">
        <v>74</v>
      </c>
      <c r="P228" s="7" t="s">
        <v>88</v>
      </c>
      <c r="Q228" s="7" t="s">
        <v>74</v>
      </c>
      <c r="R228" s="35" t="s">
        <v>74</v>
      </c>
      <c r="S228" s="35" t="s">
        <v>53</v>
      </c>
      <c r="T228" s="7" t="s">
        <v>53</v>
      </c>
      <c r="U228" s="7" t="s">
        <v>47</v>
      </c>
      <c r="V228" s="4" t="s">
        <v>451</v>
      </c>
      <c r="W228" s="302">
        <f>'ITRS data'!T26</f>
        <v>8.1</v>
      </c>
      <c r="X228" s="2"/>
      <c r="Y228" s="2"/>
      <c r="Z228" s="2"/>
      <c r="AA228" s="2"/>
      <c r="AB228" s="2"/>
      <c r="AC228" s="2"/>
      <c r="AD228" s="2"/>
      <c r="AE228" s="2"/>
      <c r="AF228" s="2"/>
      <c r="AG228" s="2"/>
    </row>
    <row r="229" spans="1:33" s="34" customFormat="1" ht="78.75" x14ac:dyDescent="0.25">
      <c r="A229" s="2"/>
      <c r="B229" s="2" t="s">
        <v>330</v>
      </c>
      <c r="C229" s="3" t="s">
        <v>331</v>
      </c>
      <c r="D229" s="7">
        <v>2019</v>
      </c>
      <c r="E229" s="81" t="s">
        <v>332</v>
      </c>
      <c r="F229" s="3" t="s">
        <v>57</v>
      </c>
      <c r="G229" s="7" t="s">
        <v>74</v>
      </c>
      <c r="H229" s="7" t="s">
        <v>47</v>
      </c>
      <c r="I229" s="7" t="s">
        <v>113</v>
      </c>
      <c r="J229" s="7" t="s">
        <v>74</v>
      </c>
      <c r="K229" s="7">
        <v>300</v>
      </c>
      <c r="L229" s="7" t="s">
        <v>113</v>
      </c>
      <c r="M229" s="7" t="s">
        <v>77</v>
      </c>
      <c r="N229" s="7" t="s">
        <v>74</v>
      </c>
      <c r="O229" s="7" t="s">
        <v>74</v>
      </c>
      <c r="P229" s="7" t="s">
        <v>88</v>
      </c>
      <c r="Q229" s="7" t="s">
        <v>74</v>
      </c>
      <c r="R229" s="35" t="s">
        <v>74</v>
      </c>
      <c r="S229" s="35" t="s">
        <v>53</v>
      </c>
      <c r="T229" s="7" t="s">
        <v>53</v>
      </c>
      <c r="U229" s="7" t="s">
        <v>47</v>
      </c>
      <c r="V229" s="4" t="s">
        <v>451</v>
      </c>
      <c r="W229" s="302">
        <f>'ITRS data'!T27</f>
        <v>7.2</v>
      </c>
      <c r="X229" s="2"/>
      <c r="Y229" s="2"/>
      <c r="Z229" s="2"/>
      <c r="AA229" s="2"/>
      <c r="AB229" s="2"/>
      <c r="AC229" s="2"/>
      <c r="AD229" s="2"/>
      <c r="AE229" s="2"/>
      <c r="AF229" s="2"/>
      <c r="AG229" s="2"/>
    </row>
    <row r="230" spans="1:33" s="34" customFormat="1" ht="78.75" x14ac:dyDescent="0.25">
      <c r="A230" s="2"/>
      <c r="B230" s="2" t="s">
        <v>330</v>
      </c>
      <c r="C230" s="3" t="s">
        <v>331</v>
      </c>
      <c r="D230" s="7">
        <v>2020</v>
      </c>
      <c r="E230" s="81" t="s">
        <v>332</v>
      </c>
      <c r="F230" s="3" t="s">
        <v>57</v>
      </c>
      <c r="G230" s="7" t="s">
        <v>74</v>
      </c>
      <c r="H230" s="7" t="s">
        <v>47</v>
      </c>
      <c r="I230" s="7" t="s">
        <v>113</v>
      </c>
      <c r="J230" s="7" t="s">
        <v>74</v>
      </c>
      <c r="K230" s="7">
        <v>300</v>
      </c>
      <c r="L230" s="7" t="s">
        <v>113</v>
      </c>
      <c r="M230" s="7" t="s">
        <v>77</v>
      </c>
      <c r="N230" s="7" t="s">
        <v>74</v>
      </c>
      <c r="O230" s="7" t="s">
        <v>74</v>
      </c>
      <c r="P230" s="7" t="s">
        <v>88</v>
      </c>
      <c r="Q230" s="7" t="s">
        <v>74</v>
      </c>
      <c r="R230" s="35" t="s">
        <v>74</v>
      </c>
      <c r="S230" s="35" t="s">
        <v>53</v>
      </c>
      <c r="T230" s="7" t="s">
        <v>53</v>
      </c>
      <c r="U230" s="7" t="s">
        <v>47</v>
      </c>
      <c r="V230" s="4" t="s">
        <v>451</v>
      </c>
      <c r="W230" s="302">
        <f>'ITRS data'!T28</f>
        <v>7.2</v>
      </c>
      <c r="X230" s="2"/>
      <c r="Y230" s="2"/>
      <c r="Z230" s="2"/>
      <c r="AA230" s="2"/>
      <c r="AB230" s="2"/>
      <c r="AC230" s="2"/>
      <c r="AD230" s="2"/>
      <c r="AE230" s="2"/>
      <c r="AF230" s="2"/>
      <c r="AG230" s="2"/>
    </row>
    <row r="231" spans="1:33" s="34" customFormat="1" ht="78.75" x14ac:dyDescent="0.25">
      <c r="A231" s="2"/>
      <c r="B231" s="2" t="s">
        <v>330</v>
      </c>
      <c r="C231" s="3" t="s">
        <v>331</v>
      </c>
      <c r="D231" s="7">
        <v>2015</v>
      </c>
      <c r="E231" s="81" t="s">
        <v>332</v>
      </c>
      <c r="F231" s="3" t="s">
        <v>57</v>
      </c>
      <c r="G231" s="7" t="s">
        <v>74</v>
      </c>
      <c r="H231" s="7" t="s">
        <v>47</v>
      </c>
      <c r="I231" s="7" t="s">
        <v>113</v>
      </c>
      <c r="J231" s="7" t="s">
        <v>74</v>
      </c>
      <c r="K231" s="7">
        <v>300</v>
      </c>
      <c r="L231" s="7" t="s">
        <v>113</v>
      </c>
      <c r="M231" s="7" t="s">
        <v>77</v>
      </c>
      <c r="N231" s="7" t="s">
        <v>74</v>
      </c>
      <c r="O231" s="7" t="s">
        <v>74</v>
      </c>
      <c r="P231" s="7" t="s">
        <v>88</v>
      </c>
      <c r="Q231" s="7" t="s">
        <v>74</v>
      </c>
      <c r="R231" s="35" t="s">
        <v>74</v>
      </c>
      <c r="S231" s="35" t="s">
        <v>53</v>
      </c>
      <c r="T231" s="7" t="s">
        <v>53</v>
      </c>
      <c r="U231" s="7" t="s">
        <v>47</v>
      </c>
      <c r="V231" s="4" t="s">
        <v>452</v>
      </c>
      <c r="W231" s="302">
        <f>'ITRS data'!U23</f>
        <v>10.8</v>
      </c>
      <c r="X231" s="2"/>
      <c r="Y231" s="2"/>
      <c r="Z231" s="2"/>
      <c r="AA231" s="2"/>
      <c r="AB231" s="2"/>
      <c r="AC231" s="2"/>
      <c r="AD231" s="2"/>
      <c r="AE231" s="2"/>
      <c r="AF231" s="2"/>
      <c r="AG231" s="2"/>
    </row>
    <row r="232" spans="1:33" s="34" customFormat="1" ht="78.75" x14ac:dyDescent="0.25">
      <c r="A232" s="2"/>
      <c r="B232" s="2" t="s">
        <v>330</v>
      </c>
      <c r="C232" s="3" t="s">
        <v>331</v>
      </c>
      <c r="D232" s="7">
        <v>2016</v>
      </c>
      <c r="E232" s="81" t="s">
        <v>332</v>
      </c>
      <c r="F232" s="3" t="s">
        <v>57</v>
      </c>
      <c r="G232" s="7" t="s">
        <v>74</v>
      </c>
      <c r="H232" s="7" t="s">
        <v>47</v>
      </c>
      <c r="I232" s="7" t="s">
        <v>113</v>
      </c>
      <c r="J232" s="7" t="s">
        <v>74</v>
      </c>
      <c r="K232" s="7">
        <v>300</v>
      </c>
      <c r="L232" s="7" t="s">
        <v>113</v>
      </c>
      <c r="M232" s="7" t="s">
        <v>77</v>
      </c>
      <c r="N232" s="7" t="s">
        <v>74</v>
      </c>
      <c r="O232" s="7" t="s">
        <v>74</v>
      </c>
      <c r="P232" s="7" t="s">
        <v>88</v>
      </c>
      <c r="Q232" s="7" t="s">
        <v>74</v>
      </c>
      <c r="R232" s="35" t="s">
        <v>74</v>
      </c>
      <c r="S232" s="35" t="s">
        <v>53</v>
      </c>
      <c r="T232" s="7" t="s">
        <v>53</v>
      </c>
      <c r="U232" s="7" t="s">
        <v>47</v>
      </c>
      <c r="V232" s="4" t="s">
        <v>452</v>
      </c>
      <c r="W232" s="302">
        <f>'ITRS data'!U24</f>
        <v>10.8</v>
      </c>
      <c r="X232" s="2"/>
      <c r="Y232" s="2"/>
      <c r="Z232" s="2"/>
      <c r="AA232" s="2"/>
      <c r="AB232" s="2"/>
      <c r="AC232" s="2"/>
      <c r="AD232" s="2"/>
      <c r="AE232" s="2"/>
      <c r="AF232" s="2"/>
      <c r="AG232" s="2"/>
    </row>
    <row r="233" spans="1:33" s="34" customFormat="1" ht="78.75" x14ac:dyDescent="0.25">
      <c r="A233" s="2"/>
      <c r="B233" s="2" t="s">
        <v>330</v>
      </c>
      <c r="C233" s="3" t="s">
        <v>331</v>
      </c>
      <c r="D233" s="7">
        <v>2017</v>
      </c>
      <c r="E233" s="81" t="s">
        <v>332</v>
      </c>
      <c r="F233" s="3" t="s">
        <v>57</v>
      </c>
      <c r="G233" s="7" t="s">
        <v>74</v>
      </c>
      <c r="H233" s="7" t="s">
        <v>47</v>
      </c>
      <c r="I233" s="7" t="s">
        <v>113</v>
      </c>
      <c r="J233" s="7" t="s">
        <v>74</v>
      </c>
      <c r="K233" s="7">
        <v>300</v>
      </c>
      <c r="L233" s="7" t="s">
        <v>113</v>
      </c>
      <c r="M233" s="7" t="s">
        <v>77</v>
      </c>
      <c r="N233" s="7" t="s">
        <v>74</v>
      </c>
      <c r="O233" s="7" t="s">
        <v>74</v>
      </c>
      <c r="P233" s="7" t="s">
        <v>88</v>
      </c>
      <c r="Q233" s="7" t="s">
        <v>74</v>
      </c>
      <c r="R233" s="35" t="s">
        <v>74</v>
      </c>
      <c r="S233" s="35" t="s">
        <v>53</v>
      </c>
      <c r="T233" s="7" t="s">
        <v>53</v>
      </c>
      <c r="U233" s="7" t="s">
        <v>47</v>
      </c>
      <c r="V233" s="4" t="s">
        <v>452</v>
      </c>
      <c r="W233" s="302">
        <f>'ITRS data'!U25</f>
        <v>10.8</v>
      </c>
      <c r="X233" s="2"/>
      <c r="Y233" s="2"/>
      <c r="Z233" s="2"/>
      <c r="AA233" s="2"/>
      <c r="AB233" s="2"/>
      <c r="AC233" s="2"/>
      <c r="AD233" s="2"/>
      <c r="AE233" s="2"/>
      <c r="AF233" s="2"/>
      <c r="AG233" s="2"/>
    </row>
    <row r="234" spans="1:33" s="34" customFormat="1" ht="78.75" x14ac:dyDescent="0.25">
      <c r="A234" s="2"/>
      <c r="B234" s="2" t="s">
        <v>330</v>
      </c>
      <c r="C234" s="3" t="s">
        <v>331</v>
      </c>
      <c r="D234" s="7">
        <v>2018</v>
      </c>
      <c r="E234" s="81" t="s">
        <v>332</v>
      </c>
      <c r="F234" s="3" t="s">
        <v>57</v>
      </c>
      <c r="G234" s="7" t="s">
        <v>74</v>
      </c>
      <c r="H234" s="7" t="s">
        <v>47</v>
      </c>
      <c r="I234" s="7" t="s">
        <v>113</v>
      </c>
      <c r="J234" s="7" t="s">
        <v>74</v>
      </c>
      <c r="K234" s="7">
        <v>300</v>
      </c>
      <c r="L234" s="7" t="s">
        <v>113</v>
      </c>
      <c r="M234" s="7" t="s">
        <v>77</v>
      </c>
      <c r="N234" s="7" t="s">
        <v>74</v>
      </c>
      <c r="O234" s="7" t="s">
        <v>74</v>
      </c>
      <c r="P234" s="7" t="s">
        <v>88</v>
      </c>
      <c r="Q234" s="7" t="s">
        <v>74</v>
      </c>
      <c r="R234" s="35" t="s">
        <v>74</v>
      </c>
      <c r="S234" s="35" t="s">
        <v>53</v>
      </c>
      <c r="T234" s="7" t="s">
        <v>53</v>
      </c>
      <c r="U234" s="7" t="s">
        <v>47</v>
      </c>
      <c r="V234" s="4" t="s">
        <v>452</v>
      </c>
      <c r="W234" s="302">
        <f>'ITRS data'!U26</f>
        <v>10.8</v>
      </c>
      <c r="X234" s="2"/>
      <c r="Y234" s="2"/>
      <c r="Z234" s="2"/>
      <c r="AA234" s="2"/>
      <c r="AB234" s="2"/>
      <c r="AC234" s="2"/>
      <c r="AD234" s="2"/>
      <c r="AE234" s="2"/>
      <c r="AF234" s="2"/>
      <c r="AG234" s="2"/>
    </row>
    <row r="235" spans="1:33" s="34" customFormat="1" ht="78.75" x14ac:dyDescent="0.25">
      <c r="A235" s="2"/>
      <c r="B235" s="2" t="s">
        <v>330</v>
      </c>
      <c r="C235" s="3" t="s">
        <v>331</v>
      </c>
      <c r="D235" s="7">
        <v>2019</v>
      </c>
      <c r="E235" s="81" t="s">
        <v>332</v>
      </c>
      <c r="F235" s="3" t="s">
        <v>57</v>
      </c>
      <c r="G235" s="7" t="s">
        <v>74</v>
      </c>
      <c r="H235" s="7" t="s">
        <v>47</v>
      </c>
      <c r="I235" s="7" t="s">
        <v>113</v>
      </c>
      <c r="J235" s="7" t="s">
        <v>74</v>
      </c>
      <c r="K235" s="7">
        <v>300</v>
      </c>
      <c r="L235" s="7" t="s">
        <v>113</v>
      </c>
      <c r="M235" s="7" t="s">
        <v>77</v>
      </c>
      <c r="N235" s="7" t="s">
        <v>74</v>
      </c>
      <c r="O235" s="7" t="s">
        <v>74</v>
      </c>
      <c r="P235" s="7" t="s">
        <v>88</v>
      </c>
      <c r="Q235" s="7" t="s">
        <v>74</v>
      </c>
      <c r="R235" s="35" t="s">
        <v>74</v>
      </c>
      <c r="S235" s="35" t="s">
        <v>53</v>
      </c>
      <c r="T235" s="7" t="s">
        <v>53</v>
      </c>
      <c r="U235" s="7" t="s">
        <v>47</v>
      </c>
      <c r="V235" s="4" t="s">
        <v>452</v>
      </c>
      <c r="W235" s="302">
        <f>'ITRS data'!U27</f>
        <v>10.8</v>
      </c>
      <c r="X235" s="2"/>
      <c r="Y235" s="2"/>
      <c r="Z235" s="2"/>
      <c r="AA235" s="2"/>
      <c r="AB235" s="2"/>
      <c r="AC235" s="2"/>
      <c r="AD235" s="2"/>
      <c r="AE235" s="2"/>
      <c r="AF235" s="2"/>
      <c r="AG235" s="2"/>
    </row>
    <row r="236" spans="1:33" s="34" customFormat="1" ht="78.75" x14ac:dyDescent="0.25">
      <c r="A236" s="2"/>
      <c r="B236" s="2" t="s">
        <v>330</v>
      </c>
      <c r="C236" s="3" t="s">
        <v>331</v>
      </c>
      <c r="D236" s="7">
        <v>2020</v>
      </c>
      <c r="E236" s="81" t="s">
        <v>332</v>
      </c>
      <c r="F236" s="3" t="s">
        <v>57</v>
      </c>
      <c r="G236" s="7" t="s">
        <v>74</v>
      </c>
      <c r="H236" s="7" t="s">
        <v>47</v>
      </c>
      <c r="I236" s="7" t="s">
        <v>113</v>
      </c>
      <c r="J236" s="7" t="s">
        <v>74</v>
      </c>
      <c r="K236" s="7">
        <v>300</v>
      </c>
      <c r="L236" s="7" t="s">
        <v>113</v>
      </c>
      <c r="M236" s="7" t="s">
        <v>77</v>
      </c>
      <c r="N236" s="7" t="s">
        <v>74</v>
      </c>
      <c r="O236" s="7" t="s">
        <v>74</v>
      </c>
      <c r="P236" s="7" t="s">
        <v>88</v>
      </c>
      <c r="Q236" s="7" t="s">
        <v>74</v>
      </c>
      <c r="R236" s="35" t="s">
        <v>74</v>
      </c>
      <c r="S236" s="35" t="s">
        <v>53</v>
      </c>
      <c r="T236" s="7" t="s">
        <v>53</v>
      </c>
      <c r="U236" s="7" t="s">
        <v>47</v>
      </c>
      <c r="V236" s="4" t="s">
        <v>452</v>
      </c>
      <c r="W236" s="302">
        <f>'ITRS data'!U28</f>
        <v>10.8</v>
      </c>
      <c r="X236" s="2"/>
      <c r="Y236" s="2"/>
      <c r="Z236" s="2"/>
      <c r="AA236" s="2"/>
      <c r="AB236" s="2"/>
      <c r="AC236" s="2"/>
      <c r="AD236" s="2"/>
      <c r="AE236" s="2"/>
      <c r="AF236" s="2"/>
      <c r="AG236" s="2"/>
    </row>
    <row r="237" spans="1:33" s="345" customFormat="1" x14ac:dyDescent="0.25">
      <c r="A237" s="326"/>
      <c r="B237" s="326"/>
      <c r="C237" s="248"/>
      <c r="D237" s="248"/>
      <c r="E237" s="248"/>
      <c r="F237" s="248"/>
      <c r="G237" s="248"/>
      <c r="H237" s="248"/>
      <c r="I237" s="248"/>
      <c r="J237" s="248"/>
      <c r="K237" s="248"/>
      <c r="L237" s="248"/>
      <c r="M237" s="248"/>
      <c r="N237" s="248"/>
      <c r="O237" s="248"/>
      <c r="P237" s="248"/>
      <c r="Q237" s="248"/>
      <c r="R237" s="248"/>
      <c r="S237" s="248"/>
      <c r="T237" s="248"/>
      <c r="U237" s="248"/>
      <c r="V237" s="335"/>
      <c r="W237" s="341"/>
      <c r="X237" s="326"/>
      <c r="Y237" s="326"/>
      <c r="Z237" s="326"/>
      <c r="AA237" s="326"/>
      <c r="AB237" s="326"/>
      <c r="AC237" s="326"/>
      <c r="AD237" s="326"/>
      <c r="AE237" s="326"/>
      <c r="AF237" s="326"/>
      <c r="AG237" s="326"/>
    </row>
    <row r="238" spans="1:33" s="34" customFormat="1" ht="173.25" x14ac:dyDescent="0.25">
      <c r="A238" s="2"/>
      <c r="B238" s="2" t="s">
        <v>334</v>
      </c>
      <c r="C238" s="3" t="s">
        <v>335</v>
      </c>
      <c r="D238" s="3">
        <v>2022</v>
      </c>
      <c r="E238" s="81" t="s">
        <v>336</v>
      </c>
      <c r="F238" s="3" t="s">
        <v>62</v>
      </c>
      <c r="G238" s="3" t="s">
        <v>46</v>
      </c>
      <c r="H238" s="3" t="s">
        <v>47</v>
      </c>
      <c r="I238" s="3" t="s">
        <v>47</v>
      </c>
      <c r="J238" s="3">
        <f>'GaBi data'!B8</f>
        <v>350</v>
      </c>
      <c r="K238" s="7">
        <v>300</v>
      </c>
      <c r="L238" s="3" t="s">
        <v>47</v>
      </c>
      <c r="M238" s="3" t="s">
        <v>77</v>
      </c>
      <c r="N238" s="3" t="s">
        <v>47</v>
      </c>
      <c r="O238" s="3" t="s">
        <v>337</v>
      </c>
      <c r="P238" s="3" t="s">
        <v>88</v>
      </c>
      <c r="Q238" s="3" t="s">
        <v>338</v>
      </c>
      <c r="R238" s="3" t="s">
        <v>58</v>
      </c>
      <c r="S238" s="3" t="s">
        <v>47</v>
      </c>
      <c r="T238" s="3" t="s">
        <v>81</v>
      </c>
      <c r="U238" s="3" t="s">
        <v>47</v>
      </c>
      <c r="V238" s="4" t="s">
        <v>339</v>
      </c>
      <c r="W238" s="302" t="str">
        <f>'GaBi data'!E8</f>
        <v>NA</v>
      </c>
      <c r="X238" s="2"/>
      <c r="Y238" s="2"/>
      <c r="Z238" s="2"/>
      <c r="AA238" s="2"/>
      <c r="AB238" s="2"/>
      <c r="AC238" s="2"/>
      <c r="AD238" s="2"/>
      <c r="AE238" s="2"/>
      <c r="AF238" s="2"/>
      <c r="AG238" s="2"/>
    </row>
    <row r="239" spans="1:33" s="34" customFormat="1" ht="173.25" x14ac:dyDescent="0.25">
      <c r="A239" s="2"/>
      <c r="B239" s="2" t="s">
        <v>334</v>
      </c>
      <c r="C239" s="3" t="s">
        <v>335</v>
      </c>
      <c r="D239" s="3">
        <v>2022</v>
      </c>
      <c r="E239" s="81" t="s">
        <v>336</v>
      </c>
      <c r="F239" s="3" t="s">
        <v>62</v>
      </c>
      <c r="G239" s="3" t="s">
        <v>46</v>
      </c>
      <c r="H239" s="3" t="s">
        <v>47</v>
      </c>
      <c r="I239" s="3" t="s">
        <v>47</v>
      </c>
      <c r="J239" s="3">
        <f>'GaBi data'!B9</f>
        <v>250</v>
      </c>
      <c r="K239" s="7">
        <v>300</v>
      </c>
      <c r="L239" s="3" t="s">
        <v>47</v>
      </c>
      <c r="M239" s="3" t="s">
        <v>77</v>
      </c>
      <c r="N239" s="3" t="s">
        <v>47</v>
      </c>
      <c r="O239" s="3" t="s">
        <v>337</v>
      </c>
      <c r="P239" s="3" t="s">
        <v>88</v>
      </c>
      <c r="Q239" s="3" t="s">
        <v>338</v>
      </c>
      <c r="R239" s="3" t="s">
        <v>58</v>
      </c>
      <c r="S239" s="3" t="s">
        <v>47</v>
      </c>
      <c r="T239" s="3" t="s">
        <v>81</v>
      </c>
      <c r="U239" s="3" t="s">
        <v>47</v>
      </c>
      <c r="V239" s="4" t="s">
        <v>339</v>
      </c>
      <c r="W239" s="302" t="str">
        <f>'GaBi data'!E9</f>
        <v>NA</v>
      </c>
      <c r="X239" s="2"/>
      <c r="Y239" s="2"/>
      <c r="Z239" s="2"/>
      <c r="AA239" s="2"/>
      <c r="AB239" s="2"/>
      <c r="AC239" s="2"/>
      <c r="AD239" s="2"/>
      <c r="AE239" s="2"/>
      <c r="AF239" s="2"/>
      <c r="AG239" s="2"/>
    </row>
    <row r="240" spans="1:33" s="34" customFormat="1" ht="173.25" x14ac:dyDescent="0.25">
      <c r="A240" s="2"/>
      <c r="B240" s="2" t="s">
        <v>334</v>
      </c>
      <c r="C240" s="3" t="s">
        <v>335</v>
      </c>
      <c r="D240" s="3">
        <v>2022</v>
      </c>
      <c r="E240" s="81" t="s">
        <v>336</v>
      </c>
      <c r="F240" s="3" t="s">
        <v>62</v>
      </c>
      <c r="G240" s="3" t="s">
        <v>46</v>
      </c>
      <c r="H240" s="3" t="s">
        <v>47</v>
      </c>
      <c r="I240" s="3" t="s">
        <v>47</v>
      </c>
      <c r="J240" s="3">
        <f>'GaBi data'!B10</f>
        <v>180</v>
      </c>
      <c r="K240" s="7">
        <v>300</v>
      </c>
      <c r="L240" s="3" t="s">
        <v>47</v>
      </c>
      <c r="M240" s="3" t="s">
        <v>77</v>
      </c>
      <c r="N240" s="3" t="s">
        <v>47</v>
      </c>
      <c r="O240" s="3" t="s">
        <v>337</v>
      </c>
      <c r="P240" s="3" t="s">
        <v>88</v>
      </c>
      <c r="Q240" s="3" t="s">
        <v>338</v>
      </c>
      <c r="R240" s="3" t="s">
        <v>58</v>
      </c>
      <c r="S240" s="3" t="s">
        <v>47</v>
      </c>
      <c r="T240" s="3" t="s">
        <v>81</v>
      </c>
      <c r="U240" s="3" t="s">
        <v>47</v>
      </c>
      <c r="V240" s="4" t="s">
        <v>339</v>
      </c>
      <c r="W240" s="302" t="str">
        <f>'GaBi data'!E10</f>
        <v>NA</v>
      </c>
      <c r="X240" s="2"/>
      <c r="Y240" s="2"/>
      <c r="Z240" s="2"/>
      <c r="AA240" s="2"/>
      <c r="AB240" s="2"/>
      <c r="AC240" s="2"/>
      <c r="AD240" s="2"/>
      <c r="AE240" s="2"/>
      <c r="AF240" s="2"/>
      <c r="AG240" s="2"/>
    </row>
    <row r="241" spans="1:33" s="34" customFormat="1" ht="173.25" x14ac:dyDescent="0.25">
      <c r="A241" s="2"/>
      <c r="B241" s="2" t="s">
        <v>334</v>
      </c>
      <c r="C241" s="3" t="s">
        <v>335</v>
      </c>
      <c r="D241" s="3">
        <v>2022</v>
      </c>
      <c r="E241" s="81" t="s">
        <v>336</v>
      </c>
      <c r="F241" s="3" t="s">
        <v>62</v>
      </c>
      <c r="G241" s="3" t="s">
        <v>46</v>
      </c>
      <c r="H241" s="3" t="s">
        <v>47</v>
      </c>
      <c r="I241" s="3" t="s">
        <v>47</v>
      </c>
      <c r="J241" s="3">
        <f>'GaBi data'!B11</f>
        <v>130</v>
      </c>
      <c r="K241" s="7">
        <v>300</v>
      </c>
      <c r="L241" s="3" t="s">
        <v>47</v>
      </c>
      <c r="M241" s="3" t="s">
        <v>77</v>
      </c>
      <c r="N241" s="3" t="s">
        <v>47</v>
      </c>
      <c r="O241" s="3" t="s">
        <v>337</v>
      </c>
      <c r="P241" s="3" t="s">
        <v>88</v>
      </c>
      <c r="Q241" s="3" t="s">
        <v>338</v>
      </c>
      <c r="R241" s="3" t="s">
        <v>58</v>
      </c>
      <c r="S241" s="3" t="s">
        <v>47</v>
      </c>
      <c r="T241" s="3" t="s">
        <v>81</v>
      </c>
      <c r="U241" s="3" t="s">
        <v>47</v>
      </c>
      <c r="V241" s="4" t="s">
        <v>339</v>
      </c>
      <c r="W241" s="302" t="str">
        <f>'GaBi data'!E11</f>
        <v>NA</v>
      </c>
      <c r="X241" s="2"/>
      <c r="Y241" s="2"/>
      <c r="Z241" s="2"/>
      <c r="AA241" s="2"/>
      <c r="AB241" s="2"/>
      <c r="AC241" s="2"/>
      <c r="AD241" s="2"/>
      <c r="AE241" s="2"/>
      <c r="AF241" s="2"/>
      <c r="AG241" s="2"/>
    </row>
    <row r="242" spans="1:33" s="34" customFormat="1" ht="173.25" x14ac:dyDescent="0.25">
      <c r="A242" s="2"/>
      <c r="B242" s="2" t="s">
        <v>334</v>
      </c>
      <c r="C242" s="3" t="s">
        <v>335</v>
      </c>
      <c r="D242" s="3">
        <v>2022</v>
      </c>
      <c r="E242" s="81" t="s">
        <v>336</v>
      </c>
      <c r="F242" s="3" t="s">
        <v>62</v>
      </c>
      <c r="G242" s="3" t="s">
        <v>46</v>
      </c>
      <c r="H242" s="3" t="s">
        <v>47</v>
      </c>
      <c r="I242" s="3" t="s">
        <v>47</v>
      </c>
      <c r="J242" s="3">
        <f>'GaBi data'!B12</f>
        <v>90</v>
      </c>
      <c r="K242" s="7">
        <v>300</v>
      </c>
      <c r="L242" s="3" t="s">
        <v>47</v>
      </c>
      <c r="M242" s="3" t="s">
        <v>77</v>
      </c>
      <c r="N242" s="3" t="s">
        <v>47</v>
      </c>
      <c r="O242" s="3" t="s">
        <v>337</v>
      </c>
      <c r="P242" s="3" t="s">
        <v>88</v>
      </c>
      <c r="Q242" s="3" t="s">
        <v>338</v>
      </c>
      <c r="R242" s="3" t="s">
        <v>58</v>
      </c>
      <c r="S242" s="3" t="s">
        <v>47</v>
      </c>
      <c r="T242" s="3" t="s">
        <v>81</v>
      </c>
      <c r="U242" s="3" t="s">
        <v>47</v>
      </c>
      <c r="V242" s="4" t="s">
        <v>339</v>
      </c>
      <c r="W242" s="302" t="str">
        <f>'GaBi data'!E12</f>
        <v>NA</v>
      </c>
      <c r="X242" s="2"/>
      <c r="Y242" s="2"/>
      <c r="Z242" s="2"/>
      <c r="AA242" s="2"/>
      <c r="AB242" s="2"/>
      <c r="AC242" s="2"/>
      <c r="AD242" s="2"/>
      <c r="AE242" s="2"/>
      <c r="AF242" s="2"/>
      <c r="AG242" s="2"/>
    </row>
    <row r="243" spans="1:33" s="34" customFormat="1" ht="173.25" x14ac:dyDescent="0.25">
      <c r="A243" s="2"/>
      <c r="B243" s="2" t="s">
        <v>334</v>
      </c>
      <c r="C243" s="3" t="s">
        <v>335</v>
      </c>
      <c r="D243" s="3">
        <v>2022</v>
      </c>
      <c r="E243" s="81" t="s">
        <v>336</v>
      </c>
      <c r="F243" s="3" t="s">
        <v>62</v>
      </c>
      <c r="G243" s="3" t="s">
        <v>46</v>
      </c>
      <c r="H243" s="3" t="s">
        <v>47</v>
      </c>
      <c r="I243" s="3" t="s">
        <v>47</v>
      </c>
      <c r="J243" s="3">
        <f>'GaBi data'!B13</f>
        <v>65</v>
      </c>
      <c r="K243" s="7">
        <v>300</v>
      </c>
      <c r="L243" s="3" t="s">
        <v>47</v>
      </c>
      <c r="M243" s="3" t="s">
        <v>77</v>
      </c>
      <c r="N243" s="3" t="s">
        <v>47</v>
      </c>
      <c r="O243" s="3" t="s">
        <v>337</v>
      </c>
      <c r="P243" s="3" t="s">
        <v>88</v>
      </c>
      <c r="Q243" s="3" t="s">
        <v>338</v>
      </c>
      <c r="R243" s="3" t="s">
        <v>58</v>
      </c>
      <c r="S243" s="3" t="s">
        <v>47</v>
      </c>
      <c r="T243" s="3" t="s">
        <v>81</v>
      </c>
      <c r="U243" s="3" t="s">
        <v>47</v>
      </c>
      <c r="V243" s="4" t="s">
        <v>339</v>
      </c>
      <c r="W243" s="302" t="str">
        <f>'GaBi data'!E13</f>
        <v>NA</v>
      </c>
      <c r="X243" s="2"/>
      <c r="Y243" s="2"/>
      <c r="Z243" s="2"/>
      <c r="AA243" s="2"/>
      <c r="AB243" s="2"/>
      <c r="AC243" s="2"/>
      <c r="AD243" s="2"/>
      <c r="AE243" s="2"/>
      <c r="AF243" s="2"/>
      <c r="AG243" s="2"/>
    </row>
    <row r="244" spans="1:33" s="34" customFormat="1" ht="173.25" x14ac:dyDescent="0.25">
      <c r="A244" s="2"/>
      <c r="B244" s="2" t="s">
        <v>334</v>
      </c>
      <c r="C244" s="3" t="s">
        <v>335</v>
      </c>
      <c r="D244" s="3">
        <v>2022</v>
      </c>
      <c r="E244" s="81" t="s">
        <v>336</v>
      </c>
      <c r="F244" s="3" t="s">
        <v>62</v>
      </c>
      <c r="G244" s="3" t="s">
        <v>46</v>
      </c>
      <c r="H244" s="3" t="s">
        <v>47</v>
      </c>
      <c r="I244" s="3" t="s">
        <v>47</v>
      </c>
      <c r="J244" s="3">
        <f>'GaBi data'!B14</f>
        <v>45</v>
      </c>
      <c r="K244" s="7">
        <v>300</v>
      </c>
      <c r="L244" s="3" t="s">
        <v>47</v>
      </c>
      <c r="M244" s="3" t="s">
        <v>77</v>
      </c>
      <c r="N244" s="3" t="s">
        <v>47</v>
      </c>
      <c r="O244" s="3" t="s">
        <v>337</v>
      </c>
      <c r="P244" s="3" t="s">
        <v>88</v>
      </c>
      <c r="Q244" s="3" t="s">
        <v>338</v>
      </c>
      <c r="R244" s="3" t="s">
        <v>58</v>
      </c>
      <c r="S244" s="3" t="s">
        <v>47</v>
      </c>
      <c r="T244" s="3" t="s">
        <v>81</v>
      </c>
      <c r="U244" s="3" t="s">
        <v>47</v>
      </c>
      <c r="V244" s="4" t="s">
        <v>339</v>
      </c>
      <c r="W244" s="302" t="str">
        <f>'GaBi data'!E14</f>
        <v>NA</v>
      </c>
      <c r="X244" s="2"/>
      <c r="Y244" s="2"/>
      <c r="Z244" s="2"/>
      <c r="AA244" s="2"/>
      <c r="AB244" s="2"/>
      <c r="AC244" s="2"/>
      <c r="AD244" s="2"/>
      <c r="AE244" s="2"/>
      <c r="AF244" s="2"/>
      <c r="AG244" s="2"/>
    </row>
    <row r="245" spans="1:33" s="34" customFormat="1" ht="173.25" x14ac:dyDescent="0.25">
      <c r="A245" s="2"/>
      <c r="B245" s="2" t="s">
        <v>334</v>
      </c>
      <c r="C245" s="3" t="s">
        <v>335</v>
      </c>
      <c r="D245" s="3">
        <v>2022</v>
      </c>
      <c r="E245" s="81" t="s">
        <v>336</v>
      </c>
      <c r="F245" s="3" t="s">
        <v>62</v>
      </c>
      <c r="G245" s="3" t="s">
        <v>46</v>
      </c>
      <c r="H245" s="3" t="s">
        <v>47</v>
      </c>
      <c r="I245" s="3" t="s">
        <v>47</v>
      </c>
      <c r="J245" s="3">
        <f>'GaBi data'!B15</f>
        <v>32</v>
      </c>
      <c r="K245" s="7">
        <v>300</v>
      </c>
      <c r="L245" s="3" t="s">
        <v>47</v>
      </c>
      <c r="M245" s="3" t="s">
        <v>77</v>
      </c>
      <c r="N245" s="3" t="s">
        <v>47</v>
      </c>
      <c r="O245" s="3" t="s">
        <v>337</v>
      </c>
      <c r="P245" s="3" t="s">
        <v>88</v>
      </c>
      <c r="Q245" s="3" t="s">
        <v>338</v>
      </c>
      <c r="R245" s="3" t="s">
        <v>58</v>
      </c>
      <c r="S245" s="3" t="s">
        <v>47</v>
      </c>
      <c r="T245" s="3" t="s">
        <v>81</v>
      </c>
      <c r="U245" s="3" t="s">
        <v>47</v>
      </c>
      <c r="V245" s="4" t="s">
        <v>339</v>
      </c>
      <c r="W245" s="302" t="str">
        <f>'GaBi data'!E15</f>
        <v>NA</v>
      </c>
      <c r="X245" s="2"/>
      <c r="Y245" s="2"/>
      <c r="Z245" s="2"/>
      <c r="AA245" s="2"/>
      <c r="AB245" s="2"/>
      <c r="AC245" s="2"/>
      <c r="AD245" s="2"/>
      <c r="AE245" s="2"/>
      <c r="AF245" s="2"/>
      <c r="AG245" s="2"/>
    </row>
    <row r="246" spans="1:33" s="34" customFormat="1" ht="173.25" x14ac:dyDescent="0.25">
      <c r="A246" s="2"/>
      <c r="B246" s="2" t="s">
        <v>334</v>
      </c>
      <c r="C246" s="3" t="s">
        <v>335</v>
      </c>
      <c r="D246" s="3">
        <v>2022</v>
      </c>
      <c r="E246" s="81" t="s">
        <v>336</v>
      </c>
      <c r="F246" s="3" t="s">
        <v>62</v>
      </c>
      <c r="G246" s="3" t="s">
        <v>46</v>
      </c>
      <c r="H246" s="3" t="s">
        <v>47</v>
      </c>
      <c r="I246" s="3" t="s">
        <v>47</v>
      </c>
      <c r="J246" s="3">
        <f>'GaBi data'!B16</f>
        <v>22</v>
      </c>
      <c r="K246" s="7">
        <v>300</v>
      </c>
      <c r="L246" s="3" t="s">
        <v>47</v>
      </c>
      <c r="M246" s="3" t="s">
        <v>77</v>
      </c>
      <c r="N246" s="3" t="s">
        <v>47</v>
      </c>
      <c r="O246" s="3" t="s">
        <v>337</v>
      </c>
      <c r="P246" s="3" t="s">
        <v>88</v>
      </c>
      <c r="Q246" s="3" t="s">
        <v>338</v>
      </c>
      <c r="R246" s="3" t="s">
        <v>58</v>
      </c>
      <c r="S246" s="3" t="s">
        <v>47</v>
      </c>
      <c r="T246" s="3" t="s">
        <v>81</v>
      </c>
      <c r="U246" s="3" t="s">
        <v>47</v>
      </c>
      <c r="V246" s="4" t="s">
        <v>339</v>
      </c>
      <c r="W246" s="302" t="str">
        <f>'GaBi data'!E16</f>
        <v>NA</v>
      </c>
      <c r="X246" s="2"/>
      <c r="Y246" s="2"/>
      <c r="Z246" s="2"/>
      <c r="AA246" s="2"/>
      <c r="AB246" s="2"/>
      <c r="AC246" s="2"/>
      <c r="AD246" s="2"/>
      <c r="AE246" s="2"/>
      <c r="AF246" s="2"/>
      <c r="AG246" s="2"/>
    </row>
    <row r="247" spans="1:33" s="34" customFormat="1" ht="173.25" x14ac:dyDescent="0.25">
      <c r="A247" s="2"/>
      <c r="B247" s="2" t="s">
        <v>334</v>
      </c>
      <c r="C247" s="3" t="s">
        <v>335</v>
      </c>
      <c r="D247" s="3">
        <v>2022</v>
      </c>
      <c r="E247" s="81" t="s">
        <v>336</v>
      </c>
      <c r="F247" s="3" t="s">
        <v>62</v>
      </c>
      <c r="G247" s="3" t="s">
        <v>46</v>
      </c>
      <c r="H247" s="3" t="s">
        <v>47</v>
      </c>
      <c r="I247" s="3" t="s">
        <v>47</v>
      </c>
      <c r="J247" s="3">
        <f>'GaBi data'!B17</f>
        <v>14</v>
      </c>
      <c r="K247" s="7">
        <v>300</v>
      </c>
      <c r="L247" s="3" t="s">
        <v>47</v>
      </c>
      <c r="M247" s="3" t="s">
        <v>77</v>
      </c>
      <c r="N247" s="3" t="s">
        <v>47</v>
      </c>
      <c r="O247" s="3" t="s">
        <v>337</v>
      </c>
      <c r="P247" s="3" t="s">
        <v>88</v>
      </c>
      <c r="Q247" s="3" t="s">
        <v>338</v>
      </c>
      <c r="R247" s="3" t="s">
        <v>58</v>
      </c>
      <c r="S247" s="3" t="s">
        <v>47</v>
      </c>
      <c r="T247" s="3" t="s">
        <v>81</v>
      </c>
      <c r="U247" s="3" t="s">
        <v>47</v>
      </c>
      <c r="V247" s="4" t="s">
        <v>339</v>
      </c>
      <c r="W247" s="302" t="str">
        <f>'GaBi data'!E17</f>
        <v>NA</v>
      </c>
      <c r="X247" s="2"/>
      <c r="Y247" s="2"/>
      <c r="Z247" s="2"/>
      <c r="AA247" s="2"/>
      <c r="AB247" s="2"/>
      <c r="AC247" s="2"/>
      <c r="AD247" s="2"/>
      <c r="AE247" s="2"/>
      <c r="AF247" s="2"/>
      <c r="AG247" s="2"/>
    </row>
    <row r="248" spans="1:33" s="34" customFormat="1" ht="189" x14ac:dyDescent="0.25">
      <c r="A248" s="2"/>
      <c r="B248" s="2" t="s">
        <v>334</v>
      </c>
      <c r="C248" s="3" t="s">
        <v>335</v>
      </c>
      <c r="D248" s="3">
        <v>2022</v>
      </c>
      <c r="E248" s="81" t="s">
        <v>336</v>
      </c>
      <c r="F248" s="3" t="s">
        <v>62</v>
      </c>
      <c r="G248" s="3" t="s">
        <v>340</v>
      </c>
      <c r="H248" s="3" t="s">
        <v>47</v>
      </c>
      <c r="I248" s="3" t="s">
        <v>47</v>
      </c>
      <c r="J248" s="3">
        <f>'GaBi data'!B19</f>
        <v>57</v>
      </c>
      <c r="K248" s="7">
        <v>300</v>
      </c>
      <c r="L248" s="3" t="s">
        <v>47</v>
      </c>
      <c r="M248" s="3" t="s">
        <v>73</v>
      </c>
      <c r="N248" s="3" t="s">
        <v>47</v>
      </c>
      <c r="O248" s="3" t="s">
        <v>337</v>
      </c>
      <c r="P248" s="3" t="s">
        <v>88</v>
      </c>
      <c r="Q248" s="3" t="s">
        <v>341</v>
      </c>
      <c r="R248" s="3" t="s">
        <v>58</v>
      </c>
      <c r="S248" s="3" t="s">
        <v>47</v>
      </c>
      <c r="T248" s="3" t="s">
        <v>124</v>
      </c>
      <c r="U248" s="3" t="s">
        <v>47</v>
      </c>
      <c r="V248" s="4" t="s">
        <v>342</v>
      </c>
      <c r="W248" s="302" t="str">
        <f>'GaBi data'!E19</f>
        <v>NA</v>
      </c>
      <c r="X248" s="2"/>
      <c r="Y248" s="2"/>
      <c r="Z248" s="2"/>
      <c r="AA248" s="2"/>
      <c r="AB248" s="2"/>
      <c r="AC248" s="2"/>
      <c r="AD248" s="2"/>
      <c r="AE248" s="2"/>
      <c r="AF248" s="2"/>
      <c r="AG248" s="2"/>
    </row>
    <row r="249" spans="1:33" s="34" customFormat="1" ht="189" x14ac:dyDescent="0.25">
      <c r="A249" s="2"/>
      <c r="B249" s="2" t="s">
        <v>334</v>
      </c>
      <c r="C249" s="3" t="s">
        <v>335</v>
      </c>
      <c r="D249" s="3">
        <v>2022</v>
      </c>
      <c r="E249" s="81" t="s">
        <v>336</v>
      </c>
      <c r="F249" s="3" t="s">
        <v>62</v>
      </c>
      <c r="G249" s="3" t="s">
        <v>340</v>
      </c>
      <c r="H249" s="3" t="s">
        <v>47</v>
      </c>
      <c r="I249" s="3" t="s">
        <v>47</v>
      </c>
      <c r="J249" s="3">
        <f>'GaBi data'!B20</f>
        <v>45</v>
      </c>
      <c r="K249" s="7">
        <v>300</v>
      </c>
      <c r="L249" s="3" t="s">
        <v>47</v>
      </c>
      <c r="M249" s="3" t="s">
        <v>73</v>
      </c>
      <c r="N249" s="3" t="s">
        <v>47</v>
      </c>
      <c r="O249" s="3" t="s">
        <v>337</v>
      </c>
      <c r="P249" s="3" t="s">
        <v>88</v>
      </c>
      <c r="Q249" s="3" t="s">
        <v>341</v>
      </c>
      <c r="R249" s="3" t="s">
        <v>58</v>
      </c>
      <c r="S249" s="3" t="s">
        <v>47</v>
      </c>
      <c r="T249" s="3" t="s">
        <v>124</v>
      </c>
      <c r="U249" s="3" t="s">
        <v>47</v>
      </c>
      <c r="V249" s="4" t="s">
        <v>343</v>
      </c>
      <c r="W249" s="302" t="str">
        <f>'GaBi data'!E20</f>
        <v>NA</v>
      </c>
      <c r="X249" s="2"/>
      <c r="Y249" s="2"/>
      <c r="Z249" s="2"/>
      <c r="AA249" s="2"/>
      <c r="AB249" s="2"/>
      <c r="AC249" s="2"/>
      <c r="AD249" s="2"/>
      <c r="AE249" s="2"/>
      <c r="AF249" s="2"/>
      <c r="AG249" s="2"/>
    </row>
    <row r="250" spans="1:33" s="344" customFormat="1" x14ac:dyDescent="0.25">
      <c r="A250" s="327"/>
      <c r="B250" s="327"/>
      <c r="C250" s="329" t="s">
        <v>168</v>
      </c>
      <c r="D250" s="328"/>
      <c r="E250" s="354"/>
      <c r="F250" s="329" t="s">
        <v>168</v>
      </c>
      <c r="G250" s="328"/>
      <c r="H250" s="328"/>
      <c r="I250" s="328"/>
      <c r="J250" s="328"/>
      <c r="K250" s="328"/>
      <c r="L250" s="328"/>
      <c r="M250" s="328"/>
      <c r="N250" s="328"/>
      <c r="O250" s="328"/>
      <c r="P250" s="328"/>
      <c r="Q250" s="328"/>
      <c r="R250" s="328"/>
      <c r="S250" s="328"/>
      <c r="T250" s="328"/>
      <c r="U250" s="328"/>
      <c r="V250" s="330"/>
      <c r="W250" s="338"/>
      <c r="X250" s="331"/>
      <c r="Y250" s="331"/>
      <c r="Z250" s="327"/>
      <c r="AA250" s="327"/>
      <c r="AB250" s="327"/>
      <c r="AC250" s="327"/>
      <c r="AD250" s="327"/>
      <c r="AE250" s="327"/>
      <c r="AF250" s="327"/>
      <c r="AG250" s="327"/>
    </row>
    <row r="251" spans="1:33" s="34" customFormat="1" ht="31.5" x14ac:dyDescent="0.25">
      <c r="A251" s="2"/>
      <c r="B251" s="2" t="s">
        <v>344</v>
      </c>
      <c r="C251" s="3" t="s">
        <v>345</v>
      </c>
      <c r="D251" s="3">
        <v>2019</v>
      </c>
      <c r="E251" s="81" t="s">
        <v>346</v>
      </c>
      <c r="F251" s="3" t="s">
        <v>62</v>
      </c>
      <c r="G251" s="3" t="s">
        <v>58</v>
      </c>
      <c r="H251" s="3" t="s">
        <v>47</v>
      </c>
      <c r="I251" s="3" t="s">
        <v>53</v>
      </c>
      <c r="J251" s="3">
        <v>130</v>
      </c>
      <c r="K251" s="3">
        <v>300</v>
      </c>
      <c r="L251" s="3" t="s">
        <v>113</v>
      </c>
      <c r="M251" s="3" t="s">
        <v>53</v>
      </c>
      <c r="N251" s="3" t="s">
        <v>47</v>
      </c>
      <c r="O251" s="3" t="s">
        <v>65</v>
      </c>
      <c r="P251" s="3" t="s">
        <v>88</v>
      </c>
      <c r="Q251" s="3" t="s">
        <v>50</v>
      </c>
      <c r="R251" s="3" t="s">
        <v>58</v>
      </c>
      <c r="S251" s="3" t="s">
        <v>77</v>
      </c>
      <c r="T251" s="3" t="s">
        <v>53</v>
      </c>
      <c r="U251" s="3" t="s">
        <v>47</v>
      </c>
      <c r="V251" s="4" t="s">
        <v>347</v>
      </c>
      <c r="W251" s="302">
        <f>'EIME data'!E6</f>
        <v>25</v>
      </c>
      <c r="X251" s="2"/>
      <c r="Y251" s="2"/>
      <c r="Z251" s="2"/>
      <c r="AA251" s="2"/>
      <c r="AB251" s="2"/>
      <c r="AC251" s="2"/>
      <c r="AD251" s="2"/>
      <c r="AE251" s="2"/>
      <c r="AF251" s="2"/>
      <c r="AG251" s="2"/>
    </row>
    <row r="252" spans="1:33" s="34" customFormat="1" ht="31.5" x14ac:dyDescent="0.25">
      <c r="A252" s="2"/>
      <c r="B252" s="2" t="s">
        <v>344</v>
      </c>
      <c r="C252" s="3" t="s">
        <v>345</v>
      </c>
      <c r="D252" s="3">
        <v>2019</v>
      </c>
      <c r="E252" s="81" t="s">
        <v>346</v>
      </c>
      <c r="F252" s="3" t="s">
        <v>62</v>
      </c>
      <c r="G252" s="3" t="s">
        <v>58</v>
      </c>
      <c r="H252" s="3" t="s">
        <v>47</v>
      </c>
      <c r="I252" s="3" t="s">
        <v>53</v>
      </c>
      <c r="J252" s="3">
        <v>90</v>
      </c>
      <c r="K252" s="3">
        <v>300</v>
      </c>
      <c r="L252" s="3" t="s">
        <v>113</v>
      </c>
      <c r="M252" s="3" t="s">
        <v>53</v>
      </c>
      <c r="N252" s="3" t="s">
        <v>47</v>
      </c>
      <c r="O252" s="3" t="s">
        <v>65</v>
      </c>
      <c r="P252" s="3" t="s">
        <v>88</v>
      </c>
      <c r="Q252" s="3" t="s">
        <v>50</v>
      </c>
      <c r="R252" s="3" t="s">
        <v>58</v>
      </c>
      <c r="S252" s="3" t="s">
        <v>77</v>
      </c>
      <c r="T252" s="3" t="s">
        <v>53</v>
      </c>
      <c r="U252" s="3" t="s">
        <v>47</v>
      </c>
      <c r="V252" s="4" t="s">
        <v>347</v>
      </c>
      <c r="W252" s="302">
        <f>'EIME data'!E7</f>
        <v>28.3</v>
      </c>
      <c r="X252" s="2"/>
      <c r="Y252" s="2"/>
      <c r="Z252" s="2"/>
      <c r="AA252" s="2"/>
      <c r="AB252" s="2"/>
      <c r="AC252" s="2"/>
      <c r="AD252" s="2"/>
      <c r="AE252" s="2"/>
      <c r="AF252" s="2"/>
      <c r="AG252" s="2"/>
    </row>
    <row r="253" spans="1:33" s="34" customFormat="1" ht="31.5" x14ac:dyDescent="0.25">
      <c r="A253" s="2"/>
      <c r="B253" s="2" t="s">
        <v>344</v>
      </c>
      <c r="C253" s="3" t="s">
        <v>345</v>
      </c>
      <c r="D253" s="3">
        <v>2019</v>
      </c>
      <c r="E253" s="81" t="s">
        <v>346</v>
      </c>
      <c r="F253" s="3" t="s">
        <v>62</v>
      </c>
      <c r="G253" s="3" t="s">
        <v>58</v>
      </c>
      <c r="H253" s="3" t="s">
        <v>47</v>
      </c>
      <c r="I253" s="3" t="s">
        <v>53</v>
      </c>
      <c r="J253" s="3">
        <v>28</v>
      </c>
      <c r="K253" s="3">
        <v>300</v>
      </c>
      <c r="L253" s="3" t="s">
        <v>113</v>
      </c>
      <c r="M253" s="3" t="s">
        <v>53</v>
      </c>
      <c r="N253" s="3" t="s">
        <v>47</v>
      </c>
      <c r="O253" s="3" t="s">
        <v>65</v>
      </c>
      <c r="P253" s="3" t="s">
        <v>88</v>
      </c>
      <c r="Q253" s="3" t="s">
        <v>50</v>
      </c>
      <c r="R253" s="3" t="s">
        <v>58</v>
      </c>
      <c r="S253" s="3" t="s">
        <v>77</v>
      </c>
      <c r="T253" s="3" t="s">
        <v>53</v>
      </c>
      <c r="U253" s="3" t="s">
        <v>47</v>
      </c>
      <c r="V253" s="4" t="s">
        <v>347</v>
      </c>
      <c r="W253" s="302">
        <f>'EIME data'!E9</f>
        <v>42.4</v>
      </c>
      <c r="X253" s="2"/>
      <c r="Y253" s="2"/>
      <c r="Z253" s="2"/>
      <c r="AA253" s="2"/>
      <c r="AB253" s="2"/>
      <c r="AC253" s="2"/>
      <c r="AD253" s="2"/>
      <c r="AE253" s="2"/>
      <c r="AF253" s="2"/>
      <c r="AG253" s="2"/>
    </row>
    <row r="254" spans="1:33" s="34" customFormat="1" ht="31.5" x14ac:dyDescent="0.25">
      <c r="A254" s="2"/>
      <c r="B254" s="2" t="s">
        <v>344</v>
      </c>
      <c r="C254" s="3" t="s">
        <v>345</v>
      </c>
      <c r="D254" s="3">
        <v>2019</v>
      </c>
      <c r="E254" s="81" t="s">
        <v>346</v>
      </c>
      <c r="F254" s="3" t="s">
        <v>62</v>
      </c>
      <c r="G254" s="3" t="s">
        <v>58</v>
      </c>
      <c r="H254" s="3" t="s">
        <v>47</v>
      </c>
      <c r="I254" s="3" t="s">
        <v>53</v>
      </c>
      <c r="J254" s="3">
        <v>16</v>
      </c>
      <c r="K254" s="3">
        <v>300</v>
      </c>
      <c r="L254" s="3" t="s">
        <v>113</v>
      </c>
      <c r="M254" s="3" t="s">
        <v>53</v>
      </c>
      <c r="N254" s="3" t="s">
        <v>47</v>
      </c>
      <c r="O254" s="3" t="s">
        <v>65</v>
      </c>
      <c r="P254" s="3" t="s">
        <v>88</v>
      </c>
      <c r="Q254" s="3" t="s">
        <v>50</v>
      </c>
      <c r="R254" s="3" t="s">
        <v>58</v>
      </c>
      <c r="S254" s="3" t="s">
        <v>77</v>
      </c>
      <c r="T254" s="3" t="s">
        <v>53</v>
      </c>
      <c r="U254" s="3" t="s">
        <v>47</v>
      </c>
      <c r="V254" s="4" t="s">
        <v>347</v>
      </c>
      <c r="W254" s="302">
        <f>'EIME data'!E10</f>
        <v>46.5</v>
      </c>
      <c r="X254" s="2"/>
      <c r="Y254" s="2"/>
      <c r="Z254" s="2"/>
      <c r="AA254" s="2"/>
      <c r="AB254" s="2"/>
      <c r="AC254" s="2"/>
      <c r="AD254" s="2"/>
      <c r="AE254" s="2"/>
      <c r="AF254" s="2"/>
      <c r="AG254" s="2"/>
    </row>
    <row r="255" spans="1:33" s="34" customFormat="1" ht="31.5" x14ac:dyDescent="0.25">
      <c r="A255" s="2"/>
      <c r="B255" s="2" t="s">
        <v>344</v>
      </c>
      <c r="C255" s="3" t="s">
        <v>345</v>
      </c>
      <c r="D255" s="3">
        <v>2019</v>
      </c>
      <c r="E255" s="81" t="s">
        <v>346</v>
      </c>
      <c r="F255" s="3" t="s">
        <v>62</v>
      </c>
      <c r="G255" s="3" t="s">
        <v>58</v>
      </c>
      <c r="H255" s="3" t="s">
        <v>47</v>
      </c>
      <c r="I255" s="3" t="s">
        <v>53</v>
      </c>
      <c r="J255" s="3">
        <v>14</v>
      </c>
      <c r="K255" s="3">
        <v>300</v>
      </c>
      <c r="L255" s="3" t="s">
        <v>113</v>
      </c>
      <c r="M255" s="3" t="s">
        <v>53</v>
      </c>
      <c r="N255" s="3" t="s">
        <v>47</v>
      </c>
      <c r="O255" s="3" t="s">
        <v>65</v>
      </c>
      <c r="P255" s="3" t="s">
        <v>88</v>
      </c>
      <c r="Q255" s="3" t="s">
        <v>50</v>
      </c>
      <c r="R255" s="3" t="s">
        <v>58</v>
      </c>
      <c r="S255" s="3" t="s">
        <v>77</v>
      </c>
      <c r="T255" s="3" t="s">
        <v>53</v>
      </c>
      <c r="U255" s="3" t="s">
        <v>47</v>
      </c>
      <c r="V255" s="4" t="s">
        <v>347</v>
      </c>
      <c r="W255" s="302">
        <f>'EIME data'!E11</f>
        <v>49</v>
      </c>
      <c r="X255" s="2"/>
      <c r="Y255" s="2"/>
      <c r="Z255" s="2"/>
      <c r="AA255" s="2"/>
      <c r="AB255" s="2"/>
      <c r="AC255" s="2"/>
      <c r="AD255" s="2"/>
      <c r="AE255" s="2"/>
      <c r="AF255" s="2"/>
      <c r="AG255" s="2"/>
    </row>
    <row r="256" spans="1:33" s="34" customFormat="1" ht="31.5" x14ac:dyDescent="0.25">
      <c r="A256" s="2"/>
      <c r="B256" s="2" t="s">
        <v>344</v>
      </c>
      <c r="C256" s="3" t="s">
        <v>345</v>
      </c>
      <c r="D256" s="3">
        <v>2019</v>
      </c>
      <c r="E256" s="81" t="s">
        <v>346</v>
      </c>
      <c r="F256" s="3" t="s">
        <v>62</v>
      </c>
      <c r="G256" s="3" t="s">
        <v>58</v>
      </c>
      <c r="H256" s="3" t="s">
        <v>47</v>
      </c>
      <c r="I256" s="3" t="s">
        <v>53</v>
      </c>
      <c r="J256" s="3">
        <v>12</v>
      </c>
      <c r="K256" s="3">
        <v>300</v>
      </c>
      <c r="L256" s="3" t="s">
        <v>113</v>
      </c>
      <c r="M256" s="3" t="s">
        <v>53</v>
      </c>
      <c r="N256" s="3" t="s">
        <v>47</v>
      </c>
      <c r="O256" s="3" t="s">
        <v>65</v>
      </c>
      <c r="P256" s="3" t="s">
        <v>88</v>
      </c>
      <c r="Q256" s="3" t="s">
        <v>50</v>
      </c>
      <c r="R256" s="3" t="s">
        <v>58</v>
      </c>
      <c r="S256" s="3" t="s">
        <v>77</v>
      </c>
      <c r="T256" s="3" t="s">
        <v>53</v>
      </c>
      <c r="U256" s="3" t="s">
        <v>47</v>
      </c>
      <c r="V256" s="4" t="s">
        <v>347</v>
      </c>
      <c r="W256" s="302">
        <f>'EIME data'!E12</f>
        <v>54</v>
      </c>
      <c r="X256" s="2"/>
      <c r="Y256" s="2"/>
      <c r="Z256" s="2"/>
      <c r="AA256" s="2"/>
      <c r="AB256" s="2"/>
      <c r="AC256" s="2"/>
      <c r="AD256" s="2"/>
      <c r="AE256" s="2"/>
      <c r="AF256" s="2"/>
      <c r="AG256" s="2"/>
    </row>
    <row r="257" spans="1:33" s="34" customFormat="1" ht="31.5" x14ac:dyDescent="0.25">
      <c r="A257" s="2"/>
      <c r="B257" s="2" t="s">
        <v>344</v>
      </c>
      <c r="C257" s="3" t="s">
        <v>345</v>
      </c>
      <c r="D257" s="3">
        <v>2019</v>
      </c>
      <c r="E257" s="81" t="s">
        <v>346</v>
      </c>
      <c r="F257" s="3" t="s">
        <v>62</v>
      </c>
      <c r="G257" s="3" t="s">
        <v>58</v>
      </c>
      <c r="H257" s="3" t="s">
        <v>47</v>
      </c>
      <c r="I257" s="3" t="s">
        <v>53</v>
      </c>
      <c r="J257" s="3">
        <v>8</v>
      </c>
      <c r="K257" s="3">
        <v>300</v>
      </c>
      <c r="L257" s="3" t="s">
        <v>113</v>
      </c>
      <c r="M257" s="3" t="s">
        <v>53</v>
      </c>
      <c r="N257" s="3" t="s">
        <v>47</v>
      </c>
      <c r="O257" s="3" t="s">
        <v>65</v>
      </c>
      <c r="P257" s="3" t="s">
        <v>88</v>
      </c>
      <c r="Q257" s="3" t="s">
        <v>50</v>
      </c>
      <c r="R257" s="3" t="s">
        <v>58</v>
      </c>
      <c r="S257" s="3" t="s">
        <v>77</v>
      </c>
      <c r="T257" s="3" t="s">
        <v>53</v>
      </c>
      <c r="U257" s="3" t="s">
        <v>47</v>
      </c>
      <c r="V257" s="4" t="s">
        <v>347</v>
      </c>
      <c r="W257" s="302">
        <f>'EIME data'!E13</f>
        <v>59</v>
      </c>
      <c r="X257" s="2"/>
      <c r="Y257" s="2"/>
      <c r="Z257" s="2"/>
      <c r="AA257" s="2"/>
      <c r="AB257" s="2"/>
      <c r="AC257" s="2"/>
      <c r="AD257" s="2"/>
      <c r="AE257" s="2"/>
      <c r="AF257" s="2"/>
      <c r="AG257" s="2"/>
    </row>
    <row r="258" spans="1:33" s="34" customFormat="1" ht="31.5" x14ac:dyDescent="0.25">
      <c r="A258" s="2"/>
      <c r="B258" s="2" t="s">
        <v>344</v>
      </c>
      <c r="C258" s="3" t="s">
        <v>345</v>
      </c>
      <c r="D258" s="3">
        <v>2019</v>
      </c>
      <c r="E258" s="81" t="s">
        <v>346</v>
      </c>
      <c r="F258" s="3" t="s">
        <v>62</v>
      </c>
      <c r="G258" s="3" t="s">
        <v>58</v>
      </c>
      <c r="H258" s="3" t="s">
        <v>47</v>
      </c>
      <c r="I258" s="3" t="s">
        <v>53</v>
      </c>
      <c r="J258" s="3">
        <v>7</v>
      </c>
      <c r="K258" s="3">
        <v>300</v>
      </c>
      <c r="L258" s="3" t="s">
        <v>113</v>
      </c>
      <c r="M258" s="3" t="s">
        <v>53</v>
      </c>
      <c r="N258" s="3" t="s">
        <v>47</v>
      </c>
      <c r="O258" s="3" t="s">
        <v>65</v>
      </c>
      <c r="P258" s="3" t="s">
        <v>88</v>
      </c>
      <c r="Q258" s="3" t="s">
        <v>50</v>
      </c>
      <c r="R258" s="3" t="s">
        <v>58</v>
      </c>
      <c r="S258" s="3" t="s">
        <v>77</v>
      </c>
      <c r="T258" s="3" t="s">
        <v>53</v>
      </c>
      <c r="U258" s="3" t="s">
        <v>47</v>
      </c>
      <c r="V258" s="4" t="s">
        <v>347</v>
      </c>
      <c r="W258" s="302">
        <f>'EIME data'!E14</f>
        <v>63.1</v>
      </c>
      <c r="X258" s="2"/>
      <c r="Y258" s="2"/>
      <c r="Z258" s="2"/>
      <c r="AA258" s="2"/>
      <c r="AB258" s="2"/>
      <c r="AC258" s="2"/>
      <c r="AD258" s="2"/>
      <c r="AE258" s="2"/>
      <c r="AF258" s="2"/>
      <c r="AG258" s="2"/>
    </row>
    <row r="259" spans="1:33" s="344" customFormat="1" x14ac:dyDescent="0.25">
      <c r="A259" s="327"/>
      <c r="B259" s="327"/>
      <c r="C259" s="329" t="s">
        <v>168</v>
      </c>
      <c r="D259" s="328"/>
      <c r="E259" s="354"/>
      <c r="F259" s="329" t="s">
        <v>168</v>
      </c>
      <c r="G259" s="328"/>
      <c r="H259" s="328"/>
      <c r="I259" s="328"/>
      <c r="J259" s="328"/>
      <c r="K259" s="328"/>
      <c r="L259" s="328"/>
      <c r="M259" s="328"/>
      <c r="N259" s="328"/>
      <c r="O259" s="328"/>
      <c r="P259" s="328"/>
      <c r="Q259" s="328"/>
      <c r="R259" s="328"/>
      <c r="S259" s="328"/>
      <c r="T259" s="328"/>
      <c r="U259" s="328"/>
      <c r="V259" s="330"/>
      <c r="W259" s="338"/>
      <c r="X259" s="331"/>
      <c r="Y259" s="331"/>
      <c r="Z259" s="327"/>
      <c r="AA259" s="327"/>
      <c r="AB259" s="327"/>
      <c r="AC259" s="327"/>
      <c r="AD259" s="327"/>
      <c r="AE259" s="327"/>
      <c r="AF259" s="327"/>
      <c r="AG259" s="327"/>
    </row>
    <row r="260" spans="1:33" s="34" customFormat="1" ht="173.25" x14ac:dyDescent="0.25">
      <c r="A260" s="2"/>
      <c r="B260" s="2" t="s">
        <v>348</v>
      </c>
      <c r="C260" s="3" t="s">
        <v>348</v>
      </c>
      <c r="D260" s="7">
        <v>2016</v>
      </c>
      <c r="E260" s="81" t="s">
        <v>349</v>
      </c>
      <c r="F260" s="3" t="s">
        <v>62</v>
      </c>
      <c r="G260" s="3" t="s">
        <v>46</v>
      </c>
      <c r="H260" s="3" t="s">
        <v>47</v>
      </c>
      <c r="I260" s="3" t="s">
        <v>47</v>
      </c>
      <c r="J260" s="7" t="s">
        <v>74</v>
      </c>
      <c r="K260" s="7" t="s">
        <v>350</v>
      </c>
      <c r="L260" s="7" t="s">
        <v>89</v>
      </c>
      <c r="M260" s="7" t="s">
        <v>77</v>
      </c>
      <c r="N260" s="7" t="s">
        <v>81</v>
      </c>
      <c r="O260" s="3" t="s">
        <v>351</v>
      </c>
      <c r="P260" s="3" t="s">
        <v>88</v>
      </c>
      <c r="Q260" s="3" t="s">
        <v>453</v>
      </c>
      <c r="R260" s="7" t="s">
        <v>53</v>
      </c>
      <c r="S260" s="3" t="s">
        <v>72</v>
      </c>
      <c r="T260" s="3" t="s">
        <v>47</v>
      </c>
      <c r="U260" s="3" t="s">
        <v>53</v>
      </c>
      <c r="V260" s="4" t="s">
        <v>352</v>
      </c>
      <c r="W260" s="302">
        <f>'EcoInvent data'!H24</f>
        <v>111.02865555555556</v>
      </c>
      <c r="X260" s="2"/>
      <c r="Y260" s="2"/>
      <c r="Z260" s="2"/>
      <c r="AA260" s="2"/>
      <c r="AB260" s="2"/>
      <c r="AC260" s="2"/>
      <c r="AD260" s="2"/>
      <c r="AE260" s="2"/>
      <c r="AF260" s="2"/>
      <c r="AG260" s="2"/>
    </row>
    <row r="261" spans="1:33" s="343" customFormat="1" x14ac:dyDescent="0.25">
      <c r="A261" s="349"/>
      <c r="W261" s="311"/>
    </row>
  </sheetData>
  <mergeCells count="2">
    <mergeCell ref="B2:W2"/>
    <mergeCell ref="G4:U4"/>
  </mergeCells>
  <hyperlinks>
    <hyperlink ref="E223" r:id="rId1" xr:uid="{8CBBD041-5480-4E1C-BB3D-EA31F34DD52D}"/>
    <hyperlink ref="E226" r:id="rId2" xr:uid="{E83F470B-A379-4B56-A2D5-A44B07A1D871}"/>
    <hyperlink ref="E227" r:id="rId3" xr:uid="{483A76AB-179F-4F8E-9C00-54487B2D02A7}"/>
    <hyperlink ref="E228" r:id="rId4" xr:uid="{267FCA60-E49F-4A6A-8BD1-77D1DC4A98EE}"/>
    <hyperlink ref="E229" r:id="rId5" xr:uid="{F492B11A-C55E-4066-9B02-44438157E70B}"/>
    <hyperlink ref="E230" r:id="rId6" xr:uid="{59720F1E-D3DF-4462-8BF8-8FD52D1C00C6}"/>
    <hyperlink ref="E234" r:id="rId7" xr:uid="{9F508467-0979-4C7B-9779-F3256077C34B}"/>
    <hyperlink ref="E235" r:id="rId8" xr:uid="{43CA47F3-9277-4F1C-B94C-E84FF6B6A7BC}"/>
    <hyperlink ref="E236" r:id="rId9" xr:uid="{512CCBCB-C4E8-41DB-8D15-B753DFA5ECAF}"/>
    <hyperlink ref="E225" r:id="rId10" xr:uid="{61C7BE57-BCB6-4D84-B7EE-246CBB89A9DD}"/>
    <hyperlink ref="E224" r:id="rId11" xr:uid="{E2DDCDF8-62CC-42DD-9AC4-D8588FBF4797}"/>
    <hyperlink ref="E168" r:id="rId12" xr:uid="{C5E777B0-C5B3-4D9D-AD82-60D64F1BEA6F}"/>
    <hyperlink ref="E169" r:id="rId13" xr:uid="{9ECA91D4-B5C7-4D02-9062-EB9FF319FC5A}"/>
    <hyperlink ref="E170" r:id="rId14" xr:uid="{8A7AE8E0-E0BC-478B-B655-FA0EE506A99A}"/>
    <hyperlink ref="E171" r:id="rId15" xr:uid="{A8AA3A35-254A-4E65-BF47-8B986DF14DB2}"/>
    <hyperlink ref="E172" r:id="rId16" xr:uid="{FD7F0375-EE3E-446E-83A1-4BB36D22F2F3}"/>
    <hyperlink ref="E173" r:id="rId17" xr:uid="{66E13F6F-FE7B-407E-8A54-67F9D9944937}"/>
    <hyperlink ref="E174" r:id="rId18" xr:uid="{BE631B98-0900-4847-B901-2581BC1666E8}"/>
    <hyperlink ref="E175" r:id="rId19" xr:uid="{9F1C36D0-5DBE-4953-BC65-97F4F3D5805D}"/>
    <hyperlink ref="E176" r:id="rId20" xr:uid="{D5DC2858-F398-4CAF-87B4-0BF2959C38C6}"/>
    <hyperlink ref="E179" r:id="rId21" xr:uid="{E4BC555F-6D04-440D-A21D-B3C43EEE19B9}"/>
    <hyperlink ref="E180" r:id="rId22" xr:uid="{E23E4524-86C8-4974-990E-19C5A8193F0B}"/>
    <hyperlink ref="E181" r:id="rId23" xr:uid="{6B7B30C6-C5D2-49A3-9CE7-5F9A50396EDF}"/>
    <hyperlink ref="E184" r:id="rId24" xr:uid="{426A36D9-DEA1-4CE7-9E5F-0EC90D1DCC86}"/>
    <hyperlink ref="E182" r:id="rId25" xr:uid="{B1517F8D-E61D-4AF5-ABF2-49785BD37D9A}"/>
    <hyperlink ref="E183" r:id="rId26" xr:uid="{840E081C-6AF3-4F59-84D7-D4147CEBBD75}"/>
    <hyperlink ref="E185" r:id="rId27" xr:uid="{7C421CA2-BD12-4511-BEC2-25A2B48C8B04}"/>
    <hyperlink ref="E186" r:id="rId28" xr:uid="{4B77EFFA-247A-4D8C-AC04-52644CE9DAAC}"/>
    <hyperlink ref="E187" r:id="rId29" xr:uid="{F9A503D3-A0E7-4CDC-AB0C-AD050136D99A}"/>
    <hyperlink ref="E188" r:id="rId30" xr:uid="{ECDD44BC-4B00-4450-8291-451F24EA0069}"/>
    <hyperlink ref="E191" r:id="rId31" xr:uid="{59679CFC-47F8-4825-8D78-0FA1C7BE0EC8}"/>
    <hyperlink ref="E192" r:id="rId32" xr:uid="{546E4B83-F033-483A-AFBB-63B1748124B6}"/>
    <hyperlink ref="E193" r:id="rId33" xr:uid="{0F206B82-AEEA-4D64-9575-01238ABEA8C5}"/>
    <hyperlink ref="E194" r:id="rId34" xr:uid="{B1F2DED6-229E-436E-B7B2-843FFC70217F}"/>
    <hyperlink ref="E195" r:id="rId35" xr:uid="{9341084B-A263-4FDC-9A2E-328A25404B1C}"/>
    <hyperlink ref="E196" r:id="rId36" xr:uid="{31EDCD32-DAEF-47BB-BE7F-C6DA193256C2}"/>
    <hyperlink ref="E197" r:id="rId37" xr:uid="{B2835FAB-BF79-480F-94B3-AD1818920CB8}"/>
    <hyperlink ref="E198" r:id="rId38" xr:uid="{CCF598CD-6D3C-4A07-B365-A0A92D1BCA5B}"/>
    <hyperlink ref="E199" r:id="rId39" xr:uid="{B828F157-1B73-4154-86F3-FB8E9D9E4926}"/>
    <hyperlink ref="E231" r:id="rId40" xr:uid="{3BD28105-F312-4E7A-BE34-EBC6EAF712CC}"/>
    <hyperlink ref="E232" r:id="rId41" xr:uid="{555AD224-171C-4ADE-B7B3-A1F4C7FECAB9}"/>
    <hyperlink ref="E233" r:id="rId42" xr:uid="{1675F680-16A8-4239-9EA0-016C1E7815DF}"/>
    <hyperlink ref="E167" r:id="rId43" xr:uid="{9B75D525-CA4C-4219-AF46-EDE8A61DB775}"/>
    <hyperlink ref="E190" r:id="rId44" xr:uid="{29B7CA03-031C-403B-B750-EDA0CC0B8ABD}"/>
    <hyperlink ref="E178" r:id="rId45" xr:uid="{ADA6F1E1-CE21-4B70-AEA5-F82256AFCECF}"/>
    <hyperlink ref="E116" r:id="rId46" xr:uid="{7BB7704C-375E-4B54-8F1A-71B9EE9D19EB}"/>
    <hyperlink ref="E9" r:id="rId47" xr:uid="{1BCE88B2-014D-4D84-9301-34EC2619B047}"/>
    <hyperlink ref="E17" r:id="rId48" xr:uid="{82F15A43-C793-4624-B73B-4A57317FADBC}"/>
    <hyperlink ref="E54" r:id="rId49" xr:uid="{FE08B9FF-42B4-4318-B3ED-7F58EFCC4D09}"/>
    <hyperlink ref="E56" r:id="rId50" xr:uid="{59E9D09A-5C9C-49D9-89EC-27826905721A}"/>
    <hyperlink ref="E80" r:id="rId51" xr:uid="{7483A0BB-952F-4700-8B6D-6AF93FF8AAFB}"/>
    <hyperlink ref="E81" r:id="rId52" xr:uid="{2DEABB53-D805-4E5C-A781-DA8B42B6D1B2}"/>
    <hyperlink ref="E82" r:id="rId53" xr:uid="{12D0EA71-6D47-402E-ACFB-6FC07EC6EE06}"/>
    <hyperlink ref="E83" r:id="rId54" xr:uid="{88EB7F5F-A9F9-4D32-9378-CC6F4B65E5C3}"/>
    <hyperlink ref="E84" r:id="rId55" xr:uid="{D255CA17-E337-42D6-9726-57B475578C15}"/>
    <hyperlink ref="E85" r:id="rId56" xr:uid="{78CBA77C-E669-4006-8416-32C7D5A6F03F}"/>
    <hyperlink ref="E86" r:id="rId57" xr:uid="{21811560-1212-4AD1-95C2-A67521BEF87C}"/>
    <hyperlink ref="E87" r:id="rId58" xr:uid="{408B9FA6-A13F-4C6C-9629-234457B2A1EE}"/>
    <hyperlink ref="E88" r:id="rId59" xr:uid="{3E636F19-3F84-4CE1-B268-267ADAA72348}"/>
    <hyperlink ref="E89" r:id="rId60" xr:uid="{34492222-826A-4A05-ACFA-911982540F4B}"/>
    <hyperlink ref="E90" r:id="rId61" xr:uid="{C93769B6-2690-4A85-A4EF-A65DF985F0BB}"/>
    <hyperlink ref="E91" r:id="rId62" xr:uid="{B53D653E-705A-4426-B629-83BFB34B5CDA}"/>
    <hyperlink ref="E92" r:id="rId63" xr:uid="{7A679C0F-E1B7-46F7-A287-C7CDB2C6211C}"/>
    <hyperlink ref="E93" r:id="rId64" xr:uid="{DE5D57CA-061D-4A1F-AEEB-AB2D9DFA26C6}"/>
    <hyperlink ref="E94" r:id="rId65" xr:uid="{D2308513-B8DE-4FB2-AF47-18BB865EE80E}"/>
    <hyperlink ref="E95" r:id="rId66" xr:uid="{4C89E018-A597-45EF-8BBF-7002B894E218}"/>
    <hyperlink ref="E96" r:id="rId67" xr:uid="{3DEA286D-E157-46B0-A19E-42B058E61D83}"/>
    <hyperlink ref="E97" r:id="rId68" xr:uid="{E5133543-1C09-4EFE-877E-D1EB9C0167A0}"/>
    <hyperlink ref="E98" r:id="rId69" xr:uid="{3A488D12-4CA0-4252-A2D5-CB2101248E62}"/>
    <hyperlink ref="E99" r:id="rId70" xr:uid="{1FCB6144-2AD3-4D3F-9A52-D9CBB823444A}"/>
    <hyperlink ref="E100" r:id="rId71" xr:uid="{E233324C-3D83-4EB4-AB21-B68E89C909A6}"/>
    <hyperlink ref="E101" r:id="rId72" xr:uid="{0356606B-4F4B-4507-99C5-44B726502563}"/>
    <hyperlink ref="E102" r:id="rId73" xr:uid="{A3CDE2F8-4D89-4557-92FF-1234F24FC900}"/>
    <hyperlink ref="E103" r:id="rId74" xr:uid="{8F07AA4F-0C8E-43E9-8E5F-2F669EC17118}"/>
    <hyperlink ref="E104" r:id="rId75" xr:uid="{02A4875F-C249-49EB-9385-1C2A93B8FBD3}"/>
    <hyperlink ref="E105" r:id="rId76" xr:uid="{515272C1-A4D1-4D34-AB0E-7D0A4F4D4A1E}"/>
    <hyperlink ref="E106" r:id="rId77" xr:uid="{7720F7D3-2137-4207-8344-EA1ECE10EB98}"/>
    <hyperlink ref="E107" r:id="rId78" xr:uid="{AEDA880D-858F-4127-94B6-8308E9388129}"/>
    <hyperlink ref="E108" r:id="rId79" xr:uid="{48D76FD9-5756-4979-B228-12A4633A0AED}"/>
    <hyperlink ref="E112" r:id="rId80" xr:uid="{3D2FC4AE-309E-4B31-8F62-49E74591C5EA}"/>
    <hyperlink ref="E10:E16" r:id="rId81" display="https://ieeexplore.ieee.org/document/9372004/" xr:uid="{25CBF3F7-C25F-4455-822F-93752E8FBC7C}"/>
    <hyperlink ref="E19:E25" r:id="rId82" display="http://link.springer.com/10.1007/978-1-4419-9988-7" xr:uid="{75B7A378-F0E4-4861-AD6E-12C9F8D80593}"/>
    <hyperlink ref="E18" r:id="rId83" xr:uid="{B7CAC783-7788-47C4-83BA-1AA47677AA7A}"/>
    <hyperlink ref="E201" r:id="rId84" xr:uid="{29500B99-C538-44F5-9438-7A70AC5D85A4}"/>
    <hyperlink ref="E202" r:id="rId85" xr:uid="{E6A17998-72E2-4276-9B0C-F97052230BBB}"/>
    <hyperlink ref="E203" r:id="rId86" xr:uid="{1DD23734-4A7B-425C-96E3-0B7F738A58A1}"/>
    <hyperlink ref="E204" r:id="rId87" xr:uid="{C495E452-F59D-4876-A8E3-D3967D99A8E4}"/>
    <hyperlink ref="E205" r:id="rId88" xr:uid="{E22DDDBD-26EF-4B6E-B709-C7372915A021}"/>
    <hyperlink ref="E206" r:id="rId89" xr:uid="{7883E175-C9F0-43D0-AFB5-EFA250C3E21C}"/>
    <hyperlink ref="E207" r:id="rId90" xr:uid="{9D4DA099-F0A7-45C3-9DC7-775C1BC0CBFF}"/>
    <hyperlink ref="E208" r:id="rId91" xr:uid="{12B80FB2-7AC6-472B-A858-90AA99F871B4}"/>
    <hyperlink ref="E209" r:id="rId92" xr:uid="{61A42F3B-BA5A-4B88-8B0F-BDB61B4BEE2C}"/>
    <hyperlink ref="E210" r:id="rId93" xr:uid="{EF62E9C2-582F-4346-9D6D-6DEE449BFA25}"/>
    <hyperlink ref="E212" r:id="rId94" xr:uid="{3F8EC690-AE1D-4ECD-8D5B-92AAF6B1AA3A}"/>
    <hyperlink ref="E213" r:id="rId95" xr:uid="{6C0DDB14-AF5E-41F1-9944-7B0AD4C5AF4E}"/>
    <hyperlink ref="E214" r:id="rId96" xr:uid="{8528FD15-14CD-4B3F-8981-CFA05AD673CB}"/>
    <hyperlink ref="E215" r:id="rId97" xr:uid="{E4ED6EA6-D596-4D09-9494-C3A86D5C3856}"/>
    <hyperlink ref="E216" r:id="rId98" xr:uid="{4A7DDBE7-3D0F-4929-B527-4A8A91892401}"/>
    <hyperlink ref="E218" r:id="rId99" xr:uid="{143D84F0-72FD-41CA-8039-15640B2D3B78}"/>
    <hyperlink ref="E217" r:id="rId100" xr:uid="{6837C4C5-F660-4617-B049-157440D34BEB}"/>
    <hyperlink ref="E219" r:id="rId101" xr:uid="{63BD1CB7-7F44-42AD-9CCF-5EC263086E37}"/>
    <hyperlink ref="E220" r:id="rId102" xr:uid="{239B6E11-5685-49C2-BB7A-0D40B2F1A289}"/>
    <hyperlink ref="E221" r:id="rId103" xr:uid="{8C9AE121-C958-4026-BF7D-185BDA7F3EDC}"/>
    <hyperlink ref="E111" r:id="rId104" xr:uid="{8C540881-406F-4A02-961C-E365809C170C}"/>
    <hyperlink ref="E113:E115" r:id="rId105" display="https://doi.org/10.1016/j.jclepro.2011.03.005" xr:uid="{D73F87F9-ED33-48A2-9802-5489584C7D7C}"/>
    <hyperlink ref="E117" r:id="rId106" xr:uid="{0505C0B2-2B6E-49C0-BAF6-7393769B3714}"/>
    <hyperlink ref="E118" r:id="rId107" xr:uid="{3422778E-D539-4997-99CA-10A14A762766}"/>
    <hyperlink ref="E26" r:id="rId108" xr:uid="{DF442283-079A-4774-AA71-2F3E18D1839C}"/>
    <hyperlink ref="E71" r:id="rId109" xr:uid="{19245DE1-083F-4B36-8712-940F5C7DB8B0}"/>
    <hyperlink ref="E120" r:id="rId110" xr:uid="{EB8DCB4E-F0C7-439D-AD58-74F54BD2EAB7}"/>
    <hyperlink ref="E55" r:id="rId111" display="http://link.springer.com/10.1007/978-1-4419-9988-7" xr:uid="{48CCA474-31C4-4905-8995-59D1D6800EDA}"/>
    <hyperlink ref="E57" r:id="rId112" xr:uid="{D1A519F1-D20D-4848-AD2E-0406C7E8E414}"/>
    <hyperlink ref="E27" r:id="rId113" xr:uid="{88733AA4-0A3B-4C46-A9A1-E5938A75172E}"/>
    <hyperlink ref="E28" r:id="rId114" xr:uid="{6057E0EC-AF6E-4110-99BB-F45EA8FD673E}"/>
    <hyperlink ref="E109" r:id="rId115" xr:uid="{40AF7F2C-366D-437E-B7DD-67FC8DA68B99}"/>
    <hyperlink ref="E110" r:id="rId116" xr:uid="{E469EEE4-E14A-42F7-B8FE-D28F4E7D7186}"/>
    <hyperlink ref="E7" r:id="rId117" xr:uid="{00C2B2F4-C5B3-47A3-ABBD-F82A0651C57C}"/>
    <hyperlink ref="E8" r:id="rId118" xr:uid="{2636583F-1FA5-4F51-8065-2DDB2D7BCB0C}"/>
    <hyperlink ref="E121" r:id="rId119" xr:uid="{64416886-364B-47EE-A3E9-E15324FC2A55}"/>
    <hyperlink ref="E122" r:id="rId120" display="https://doi.org/10.1109/ISEE.2008.4562888" xr:uid="{DF295EE0-EB4D-474E-B382-950FD2CC77BE}"/>
    <hyperlink ref="E123" r:id="rId121" display="https://doi.org/10.1109/ISEE.2008.4562888" xr:uid="{7AEAC4FE-A1A5-4331-BABA-A8CBB4AF6981}"/>
    <hyperlink ref="E124" r:id="rId122" display="https://doi.org/10.1109/ISEE.2008.4562888" xr:uid="{1EFF472E-E65B-4F5E-AE47-42D625D5617D}"/>
    <hyperlink ref="E125" r:id="rId123" display="https://doi.org/10.1109/ISEE.2008.4562888" xr:uid="{B746FD32-048D-4508-8C8E-F34FC35464A0}"/>
    <hyperlink ref="E126" r:id="rId124" display="https://doi.org/10.1109/ISEE.2008.4562888" xr:uid="{075B00C3-0EC7-438C-8F6C-CEDE60C89880}"/>
    <hyperlink ref="E127" r:id="rId125" display="https://doi.org/10.1109/ISEE.2008.4562888" xr:uid="{C06753FD-9C2C-4847-9EE0-19EDC843AB23}"/>
    <hyperlink ref="E128" r:id="rId126" display="https://doi.org/10.1109/ISEE.2008.4562888" xr:uid="{60FB75AF-16FA-4304-85E7-3ED6EE0670DD}"/>
    <hyperlink ref="E129" r:id="rId127" display="https://doi.org/10.1109/ISEE.2008.4562888" xr:uid="{2644625C-A021-4D75-96B4-EC4F1BCB2C00}"/>
    <hyperlink ref="E130" r:id="rId128" display="https://doi.org/10.1109/ISEE.2008.4562888" xr:uid="{7D7C78DA-F6A0-495E-A335-3A1C68F1C578}"/>
    <hyperlink ref="E131" r:id="rId129" display="https://doi.org/10.1109/ISEE.2008.4562888" xr:uid="{4E3202F9-B556-4D98-B9A0-FDC7040E8AAF}"/>
    <hyperlink ref="E132" r:id="rId130" display="https://doi.org/10.1109/ISEE.2008.4562888" xr:uid="{8A23B84E-6732-4994-B105-8F5F3A60A854}"/>
    <hyperlink ref="E133" r:id="rId131" display="https://doi.org/10.1109/ISEE.2008.4562888" xr:uid="{698F1447-6198-478E-8152-F687EACA5287}"/>
    <hyperlink ref="E134" r:id="rId132" display="https://doi.org/10.1109/ISEE.2008.4562888" xr:uid="{3F120394-4192-4DD3-B15B-044599826EA1}"/>
    <hyperlink ref="E135" r:id="rId133" display="https://doi.org/10.1109/ISEE.2008.4562888" xr:uid="{4B8DE98D-37C3-4D9C-82B2-C84030950812}"/>
    <hyperlink ref="E136" r:id="rId134" display="https://doi.org/10.1109/ISEE.2008.4562888" xr:uid="{C40B4369-FEFF-40F9-A10F-D3373BA3C0E7}"/>
    <hyperlink ref="E137" r:id="rId135" display="https://doi.org/10.1109/ISEE.2008.4562888" xr:uid="{74962D5B-1B58-4AB0-9BDC-3E1C2C1D7911}"/>
    <hyperlink ref="E138" r:id="rId136" display="https://doi.org/10.1109/ISEE.2008.4562888" xr:uid="{02D44142-719A-435F-BB7B-306E32C43695}"/>
    <hyperlink ref="E139" r:id="rId137" display="https://doi.org/10.1109/ISEE.2008.4562888" xr:uid="{84D966BB-A330-4425-BF51-A734BBC2E4E0}"/>
    <hyperlink ref="E140" r:id="rId138" display="https://doi.org/10.1109/ISEE.2008.4562888" xr:uid="{47CF00F1-D6DC-48E3-A663-6D9302625A8C}"/>
    <hyperlink ref="E141" r:id="rId139" xr:uid="{659CD361-37AD-42DF-B8C7-4CA70193AA79}"/>
    <hyperlink ref="E142" r:id="rId140" xr:uid="{D47B0F84-2FF8-45C2-8652-148D73DB28FF}"/>
    <hyperlink ref="E143" r:id="rId141" xr:uid="{6D732ACF-F7E5-4AF5-9FD0-0BF020080B85}"/>
    <hyperlink ref="E145" r:id="rId142" xr:uid="{490361B7-89A5-4198-9A8D-13B66882EE6C}"/>
    <hyperlink ref="E147" r:id="rId143" xr:uid="{9CFB0B24-4A95-4212-862E-13DC1BAC6397}"/>
    <hyperlink ref="E144" r:id="rId144" xr:uid="{F3EA785D-CFA7-4466-BFEE-F41F0D28B757}"/>
    <hyperlink ref="E146" r:id="rId145" xr:uid="{9DF78FC3-B969-4F72-83C1-2CFB334DC19E}"/>
    <hyperlink ref="E148" r:id="rId146" xr:uid="{8CE9FBE2-56E9-49D9-8ADA-75095DBE9403}"/>
    <hyperlink ref="E119" r:id="rId147" xr:uid="{E56A200F-5B01-4FDA-AF50-81B494F1E00E}"/>
    <hyperlink ref="E149" r:id="rId148" xr:uid="{F0932967-ED98-4B90-BC3A-C5737A859739}"/>
    <hyperlink ref="E150" r:id="rId149" display="http://hdl.handle.net/1721.1/46056" xr:uid="{F9E09EB1-4F5D-4166-8862-ACEAD94F4934}"/>
    <hyperlink ref="E151" r:id="rId150" display="http://hdl.handle.net/1721.1/46056" xr:uid="{0F753593-70B2-45E8-A2BD-A4F87B1EC623}"/>
    <hyperlink ref="E152" r:id="rId151" display="http://hdl.handle.net/1721.1/46056" xr:uid="{D11E3764-45DB-4390-A93A-5DC3BEFD7C47}"/>
    <hyperlink ref="E153" r:id="rId152" display="http://hdl.handle.net/1721.1/46056" xr:uid="{8EB23265-062A-46C9-B422-F7D282CC7F0E}"/>
    <hyperlink ref="E154" r:id="rId153" display="http://hdl.handle.net/1721.1/46056" xr:uid="{B5DE143F-EA8A-4E98-8944-E78728C38F40}"/>
    <hyperlink ref="E155" r:id="rId154" display="http://hdl.handle.net/1721.1/46056" xr:uid="{88D66045-51E5-4ED0-B75E-1BF9F56EDD90}"/>
    <hyperlink ref="E156" r:id="rId155" xr:uid="{A71F0F81-1A94-4CD4-BC71-46088C3DC74B}"/>
    <hyperlink ref="E157" r:id="rId156" xr:uid="{C1C34349-ED8D-4585-B77A-257B9E2054C3}"/>
    <hyperlink ref="E158" r:id="rId157" xr:uid="{3300DA32-CB79-4C2F-BD64-5E8EFCFB1109}"/>
    <hyperlink ref="E159" r:id="rId158" xr:uid="{659B2643-9D40-4C23-B686-47891C68C2EF}"/>
    <hyperlink ref="E160" r:id="rId159" xr:uid="{18B26445-7577-4926-8511-38CE868292B1}"/>
    <hyperlink ref="E161" r:id="rId160" xr:uid="{EBE916DD-67DB-4352-AF6E-5659BC0E8A9A}"/>
    <hyperlink ref="E162" r:id="rId161" xr:uid="{AB03F1C4-09D0-482B-A718-F86E733A8766}"/>
    <hyperlink ref="E163" r:id="rId162" xr:uid="{B30B047A-88A5-4C69-98F7-0C7158DF41EF}"/>
    <hyperlink ref="E164" r:id="rId163" xr:uid="{2D71AB62-039D-4151-B149-CB1DC4A61F1A}"/>
    <hyperlink ref="E165" r:id="rId164" xr:uid="{BC80CB7E-34E8-4862-A109-39C40638F743}"/>
    <hyperlink ref="E29" r:id="rId165" xr:uid="{82B94A8D-31AD-47CC-8003-A9CD9343FB6C}"/>
    <hyperlink ref="E30" r:id="rId166" xr:uid="{DE56970B-FC7F-46C4-B012-B27F9E7B7625}"/>
    <hyperlink ref="E31" r:id="rId167" xr:uid="{2F26CF24-E0DD-421F-B5F5-B0A2558FCE69}"/>
    <hyperlink ref="E37" r:id="rId168" xr:uid="{8278EFCE-FD95-44D8-B667-7248841C6853}"/>
    <hyperlink ref="E38:E39" r:id="rId169" display="https://www.mpedram.com/Papers/lifecycle-inventory-analysis-finfet-issst14.pdf" xr:uid="{3A7155D2-8835-4F4C-A794-2116C80B8362}"/>
    <hyperlink ref="E40" r:id="rId170" xr:uid="{D388675A-6BAF-4C97-BF4C-C45F00BCA22E}"/>
    <hyperlink ref="E41" r:id="rId171" xr:uid="{05C7DCF8-94E7-4943-8DC3-FF7716A6BC09}"/>
    <hyperlink ref="E42" r:id="rId172" xr:uid="{2495A41F-9B5F-4583-AA24-0C4BDA1BB8BD}"/>
    <hyperlink ref="E43" r:id="rId173" xr:uid="{7201B989-AC6D-40DC-97CE-5B350D9FD20D}"/>
    <hyperlink ref="E44" r:id="rId174" xr:uid="{57E9B781-DEB8-459E-9034-685EC271BC02}"/>
    <hyperlink ref="E72" r:id="rId175" xr:uid="{C2A8FC6B-C4E8-47D1-B47C-E676F7B9B5F5}"/>
    <hyperlink ref="E73:E78" r:id="rId176" display="https://doi.org/10.1109/IGCC.2017.8323572" xr:uid="{5808E0E7-2AA1-4896-9232-60D433F4A505}"/>
    <hyperlink ref="E32" r:id="rId177" xr:uid="{F9404777-B876-4ABD-97FD-07717013DD07}"/>
    <hyperlink ref="E33" r:id="rId178" display="https://doi.org/10.1109/ISSST.2011.5936883" xr:uid="{605A9B08-FD88-4E07-AB12-F58EC9B016BB}"/>
    <hyperlink ref="E34" r:id="rId179" display="https://doi.org/10.1109/ISSST.2011.5936883" xr:uid="{28724C9C-2A58-4EFD-9E3E-1A99082CB38D}"/>
    <hyperlink ref="E35" r:id="rId180" display="https://doi.org/10.1109/ISSST.2011.5936883" xr:uid="{C35B921F-E003-4979-8B9B-2F95A618FB1E}"/>
    <hyperlink ref="E36" r:id="rId181" display="https://doi.org/10.1109/ISSST.2011.5936883" xr:uid="{320AC360-087F-44ED-B23B-F01E6326E2BB}"/>
    <hyperlink ref="E58" r:id="rId182" xr:uid="{BA06CF56-1CAB-4F81-B39E-B8CBE724F5F0}"/>
    <hyperlink ref="E59" r:id="rId183" xr:uid="{891A5BCB-A474-4235-9FF3-2C2749CB5A3E}"/>
    <hyperlink ref="E60" r:id="rId184" xr:uid="{A66E03BD-AEE8-46AF-99D9-B8FEE0DFA357}"/>
    <hyperlink ref="E61" r:id="rId185" xr:uid="{8F0EAD5E-80E0-4022-84D9-D2396DA793DA}"/>
    <hyperlink ref="E62" r:id="rId186" xr:uid="{0FE44B40-8816-45DC-B859-09966FE5EC44}"/>
    <hyperlink ref="E63" r:id="rId187" xr:uid="{6C0D62F7-8046-4F8A-92C9-2AC6345E44A3}"/>
    <hyperlink ref="E64" r:id="rId188" xr:uid="{D60BDA37-55DC-4A8B-AAF5-5EABB830D678}"/>
    <hyperlink ref="E65" r:id="rId189" xr:uid="{C5DB896E-5BB6-407A-870E-733B0F845421}"/>
    <hyperlink ref="E66" r:id="rId190" xr:uid="{ACEBF6CF-3AD3-4E2B-B618-FC1696F8B2C6}"/>
    <hyperlink ref="E67" r:id="rId191" xr:uid="{8C332ED9-3FEA-457A-B633-BCDECE8559DE}"/>
    <hyperlink ref="E68" r:id="rId192" xr:uid="{A009A439-4A75-4DAF-80C3-BECBD761C045}"/>
    <hyperlink ref="E69" r:id="rId193" xr:uid="{CFA626B5-A49D-4C44-B848-FE79B2CE0959}"/>
    <hyperlink ref="E70" r:id="rId194" xr:uid="{C7ACDA34-5F7A-498C-AAB6-87EA48C01146}"/>
    <hyperlink ref="E45" r:id="rId195" xr:uid="{FC7131B4-6538-4817-B0E6-2431B5C40DA4}"/>
    <hyperlink ref="E46" r:id="rId196" xr:uid="{32D7F667-C606-4C28-9CCA-0CBF49918519}"/>
    <hyperlink ref="E47" r:id="rId197" xr:uid="{60096C25-0932-4A47-B5FB-A90821FACED0}"/>
    <hyperlink ref="E48" r:id="rId198" xr:uid="{C95E25F8-BC60-4110-90C1-487A943DB87C}"/>
    <hyperlink ref="E49" r:id="rId199" xr:uid="{EA440325-1520-4921-868B-192CA5F14B89}"/>
    <hyperlink ref="E50" r:id="rId200" xr:uid="{9E05FADB-02F6-45C5-A3E8-A3C55204F8FF}"/>
    <hyperlink ref="E51" r:id="rId201" xr:uid="{E150F6AD-D3C6-4B8D-B5CF-1EBB3862AB76}"/>
    <hyperlink ref="E52" r:id="rId202" xr:uid="{90CBA430-E5C3-427A-884B-5AF7D9385E6C}"/>
    <hyperlink ref="E53" r:id="rId203" xr:uid="{703B9E29-DC53-4850-9222-48BE77FAF24C}"/>
    <hyperlink ref="E238" r:id="rId204" xr:uid="{2506A217-81C8-4D01-AC22-9338C2AAC9F3}"/>
    <hyperlink ref="E240" r:id="rId205" xr:uid="{AC5C3CB3-A28A-41D4-B8CA-31BFB8164305}"/>
    <hyperlink ref="E241" r:id="rId206" xr:uid="{8CD83013-D611-4C6A-98CF-29EE3F6D2603}"/>
    <hyperlink ref="E242" r:id="rId207" xr:uid="{0CE5F934-2FEE-40FF-B7C3-F98EEFE89C1C}"/>
    <hyperlink ref="E243" r:id="rId208" xr:uid="{BE7DA259-18DA-4418-ADE6-5A57B50F0BB3}"/>
    <hyperlink ref="E244" r:id="rId209" xr:uid="{BE87F64D-06E2-432A-92A0-732932D694A4}"/>
    <hyperlink ref="E248" r:id="rId210" xr:uid="{3EDABD6B-D84C-4619-85D4-A3B252AF8E9E}"/>
    <hyperlink ref="E249" r:id="rId211" xr:uid="{0BDDEE2C-3649-4268-B30E-8CBD18FBB0DA}"/>
    <hyperlink ref="E239" r:id="rId212" xr:uid="{FB17E1FB-1533-48FF-BA54-8FE86F180F1E}"/>
    <hyperlink ref="E245" r:id="rId213" xr:uid="{1E6E5B66-8C50-430B-A074-1DB745C0C174}"/>
    <hyperlink ref="E246" r:id="rId214" xr:uid="{FEC1029F-7009-4CC4-A239-62D667FBF17A}"/>
    <hyperlink ref="E247" r:id="rId215" xr:uid="{C17B8D97-EE6E-4147-89C6-A66FD26B3B9E}"/>
  </hyperlinks>
  <pageMargins left="0.7" right="0.7" top="0.75" bottom="0.75" header="0.3" footer="0.3"/>
  <pageSetup paperSize="9" orientation="portrait" r:id="rId216"/>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27E790-EFD1-475D-931A-9253F9871479}">
  <sheetPr>
    <tabColor rgb="FF44546A"/>
  </sheetPr>
  <dimension ref="A2:AH93"/>
  <sheetViews>
    <sheetView topLeftCell="Q14" workbookViewId="0">
      <selection activeCell="AE5" sqref="AE5:AE33"/>
    </sheetView>
  </sheetViews>
  <sheetFormatPr defaultRowHeight="15.75" x14ac:dyDescent="0.25"/>
  <cols>
    <col min="1" max="1" width="1.25" style="216" customWidth="1"/>
    <col min="27" max="27" width="13.875" customWidth="1"/>
    <col min="28" max="28" width="14.125" customWidth="1"/>
    <col min="29" max="29" width="13.25" customWidth="1"/>
    <col min="30" max="30" width="12.375" customWidth="1"/>
    <col min="31" max="31" width="14.75" customWidth="1"/>
    <col min="32" max="32" width="54" customWidth="1"/>
    <col min="34" max="34" width="1.25" style="216" customWidth="1"/>
  </cols>
  <sheetData>
    <row r="2" spans="2:32" x14ac:dyDescent="0.25">
      <c r="B2" s="237" t="s">
        <v>507</v>
      </c>
      <c r="C2" t="s">
        <v>1293</v>
      </c>
    </row>
    <row r="3" spans="2:32" ht="47.25" x14ac:dyDescent="0.25">
      <c r="B3" t="s">
        <v>1294</v>
      </c>
      <c r="Z3" s="249" t="s">
        <v>3</v>
      </c>
      <c r="AA3" s="249" t="s">
        <v>1295</v>
      </c>
      <c r="AB3" s="249" t="s">
        <v>1296</v>
      </c>
      <c r="AC3" s="249" t="s">
        <v>1297</v>
      </c>
      <c r="AD3" s="361" t="s">
        <v>1055</v>
      </c>
      <c r="AE3" s="361" t="s">
        <v>1056</v>
      </c>
      <c r="AF3" s="249" t="s">
        <v>7</v>
      </c>
    </row>
    <row r="5" spans="2:32" x14ac:dyDescent="0.25">
      <c r="Z5" s="250">
        <v>1983</v>
      </c>
      <c r="AA5" s="2">
        <v>3.1</v>
      </c>
      <c r="AB5">
        <f>AA5*Parameters!$C$7*Parameters!$C$12</f>
        <v>27.900000000000002</v>
      </c>
      <c r="AC5" s="27">
        <f>AB5/'Deng data'!$I$11</f>
        <v>33.614457831325304</v>
      </c>
      <c r="AD5">
        <f>AA5*Parameters!$C$8</f>
        <v>1.4724999999999999</v>
      </c>
      <c r="AE5" s="29">
        <f>AD5/'Scopes ratios details'!$F$61</f>
        <v>2.1981684426008949</v>
      </c>
    </row>
    <row r="6" spans="2:32" x14ac:dyDescent="0.25">
      <c r="Z6" s="250">
        <v>1984</v>
      </c>
      <c r="AA6" s="2">
        <v>3.26</v>
      </c>
      <c r="AB6">
        <f>AA6*Parameters!$C$7*Parameters!$C$12</f>
        <v>29.339999999999996</v>
      </c>
      <c r="AC6" s="27">
        <f>AB6/'Deng data'!$I$11</f>
        <v>35.349397590361441</v>
      </c>
      <c r="AD6">
        <f>AA6*Parameters!$C$8</f>
        <v>1.5484999999999998</v>
      </c>
      <c r="AE6" s="29">
        <f>AD6/'Scopes ratios details'!$F$61</f>
        <v>2.3116222977028764</v>
      </c>
    </row>
    <row r="7" spans="2:32" x14ac:dyDescent="0.25">
      <c r="Z7" s="250">
        <v>1988</v>
      </c>
      <c r="AA7" s="2">
        <v>1.86</v>
      </c>
      <c r="AB7">
        <f>AA7*Parameters!$C$7*Parameters!$C$12</f>
        <v>16.740000000000002</v>
      </c>
      <c r="AC7" s="27">
        <f>AB7/'Deng data'!$I$11</f>
        <v>20.168674698795183</v>
      </c>
      <c r="AD7">
        <f>AA7*Parameters!$C$8</f>
        <v>0.88349999999999995</v>
      </c>
      <c r="AE7" s="29">
        <f>AD7/'Scopes ratios details'!$F$61</f>
        <v>1.3189010655605371</v>
      </c>
    </row>
    <row r="8" spans="2:32" x14ac:dyDescent="0.25">
      <c r="Z8" s="250">
        <v>1993</v>
      </c>
      <c r="AA8" s="2">
        <v>1.33</v>
      </c>
      <c r="AB8">
        <f>AA8*Parameters!$C$7*Parameters!$C$12</f>
        <v>11.97</v>
      </c>
      <c r="AC8" s="27">
        <f>AB8/'Deng data'!$I$11</f>
        <v>14.421686746987953</v>
      </c>
      <c r="AD8">
        <f>AA8*Parameters!$C$8</f>
        <v>0.63175000000000003</v>
      </c>
      <c r="AE8" s="29">
        <f>AD8/'Scopes ratios details'!$F$61</f>
        <v>0.94308517053522278</v>
      </c>
    </row>
    <row r="9" spans="2:32" x14ac:dyDescent="0.25">
      <c r="Z9" s="250">
        <v>1993</v>
      </c>
      <c r="AA9" s="2">
        <v>1.64</v>
      </c>
      <c r="AB9">
        <f>AA9*Parameters!$C$7*Parameters!$C$12</f>
        <v>14.76</v>
      </c>
      <c r="AC9" s="27">
        <f>AB9/'Deng data'!$I$11</f>
        <v>17.783132530120483</v>
      </c>
      <c r="AD9">
        <f>AA9*Parameters!$C$8</f>
        <v>0.77899999999999991</v>
      </c>
      <c r="AE9" s="29">
        <f>AD9/'Scopes ratios details'!$F$61</f>
        <v>1.1629020147953122</v>
      </c>
    </row>
    <row r="10" spans="2:32" x14ac:dyDescent="0.25">
      <c r="Z10" s="250">
        <v>1994</v>
      </c>
      <c r="AA10" s="2">
        <v>1.53</v>
      </c>
      <c r="AB10">
        <f>AA10*Parameters!$C$7*Parameters!$C$12</f>
        <v>13.770000000000001</v>
      </c>
      <c r="AC10" s="27">
        <f>AB10/'Deng data'!$I$11</f>
        <v>16.590361445783135</v>
      </c>
      <c r="AD10">
        <f>AA10*Parameters!$C$8</f>
        <v>0.72675000000000001</v>
      </c>
      <c r="AE10" s="29">
        <f>AD10/'Scopes ratios details'!$F$61</f>
        <v>1.0849024894127</v>
      </c>
    </row>
    <row r="11" spans="2:32" x14ac:dyDescent="0.25">
      <c r="Z11" s="250">
        <v>1994</v>
      </c>
      <c r="AA11" s="2">
        <v>0.96</v>
      </c>
      <c r="AB11">
        <f>AA11*Parameters!$C$7*Parameters!$C$12</f>
        <v>8.64</v>
      </c>
      <c r="AC11" s="27">
        <f>AB11/'Deng data'!$I$11</f>
        <v>10.409638554216869</v>
      </c>
      <c r="AD11">
        <f>AA11*Parameters!$C$8</f>
        <v>0.45599999999999996</v>
      </c>
      <c r="AE11" s="29">
        <f>AD11/'Scopes ratios details'!$F$61</f>
        <v>0.68072313061189005</v>
      </c>
    </row>
    <row r="12" spans="2:32" x14ac:dyDescent="0.25">
      <c r="Z12" s="250">
        <v>1995</v>
      </c>
      <c r="AA12" s="2">
        <v>1.44</v>
      </c>
      <c r="AB12">
        <f>AA12*Parameters!$C$7*Parameters!$C$12</f>
        <v>12.959999999999999</v>
      </c>
      <c r="AC12" s="27">
        <f>AB12/'Deng data'!$I$11</f>
        <v>15.6144578313253</v>
      </c>
      <c r="AD12">
        <f>AA12*Parameters!$C$8</f>
        <v>0.68399999999999994</v>
      </c>
      <c r="AE12" s="29">
        <f>AD12/'Scopes ratios details'!$F$61</f>
        <v>1.021084695917835</v>
      </c>
    </row>
    <row r="13" spans="2:32" x14ac:dyDescent="0.25">
      <c r="Z13" s="250">
        <v>1995</v>
      </c>
      <c r="AA13" s="2">
        <v>1.41</v>
      </c>
      <c r="AB13">
        <f>AA13*Parameters!$C$7*Parameters!$C$12</f>
        <v>12.69</v>
      </c>
      <c r="AC13" s="27">
        <f>AB13/'Deng data'!$I$11</f>
        <v>15.289156626506024</v>
      </c>
      <c r="AD13">
        <f>AA13*Parameters!$C$8</f>
        <v>0.66974999999999996</v>
      </c>
      <c r="AE13" s="29">
        <f>AD13/'Scopes ratios details'!$F$61</f>
        <v>0.99981209808621352</v>
      </c>
    </row>
    <row r="14" spans="2:32" x14ac:dyDescent="0.25">
      <c r="Z14" s="250">
        <v>1997</v>
      </c>
      <c r="AA14" s="2">
        <v>0.51</v>
      </c>
      <c r="AB14">
        <f>AA14*Parameters!$C$7*Parameters!$C$12</f>
        <v>4.59</v>
      </c>
      <c r="AC14" s="27">
        <f>AB14/'Deng data'!$I$11</f>
        <v>5.5301204819277112</v>
      </c>
      <c r="AD14">
        <f>AA14*Parameters!$C$8</f>
        <v>0.24224999999999999</v>
      </c>
      <c r="AE14" s="29">
        <f>AD14/'Scopes ratios details'!$F$61</f>
        <v>0.36163416313756663</v>
      </c>
    </row>
    <row r="15" spans="2:32" x14ac:dyDescent="0.25">
      <c r="Z15" s="250">
        <v>1997</v>
      </c>
      <c r="AA15" s="2">
        <v>0.9</v>
      </c>
      <c r="AB15">
        <f>AA15*Parameters!$C$7*Parameters!$C$12</f>
        <v>8.1</v>
      </c>
      <c r="AC15" s="27">
        <f>AB15/'Deng data'!$I$11</f>
        <v>9.7590361445783138</v>
      </c>
      <c r="AD15">
        <f>AA15*Parameters!$C$8</f>
        <v>0.42749999999999999</v>
      </c>
      <c r="AE15" s="29">
        <f>AD15/'Scopes ratios details'!$F$61</f>
        <v>0.63817793494864694</v>
      </c>
    </row>
    <row r="16" spans="2:32" x14ac:dyDescent="0.25">
      <c r="Z16" s="250">
        <v>1997</v>
      </c>
      <c r="AA16" s="2">
        <v>1.4</v>
      </c>
      <c r="AB16">
        <f>AA16*Parameters!$C$7*Parameters!$C$12</f>
        <v>12.6</v>
      </c>
      <c r="AC16" s="27">
        <f>AB16/'Deng data'!$I$11</f>
        <v>15.180722891566266</v>
      </c>
      <c r="AD16">
        <f>AA16*Parameters!$C$8</f>
        <v>0.66499999999999992</v>
      </c>
      <c r="AE16" s="29">
        <f>AD16/'Scopes ratios details'!$F$61</f>
        <v>0.99272123214233965</v>
      </c>
    </row>
    <row r="17" spans="3:32" x14ac:dyDescent="0.25">
      <c r="Z17" s="250">
        <v>1997</v>
      </c>
      <c r="AA17" s="2">
        <v>1.77</v>
      </c>
      <c r="AB17">
        <f>AA17*Parameters!$C$7*Parameters!$C$12</f>
        <v>15.93</v>
      </c>
      <c r="AC17" s="27">
        <f>AB17/'Deng data'!$I$11</f>
        <v>19.192771084337348</v>
      </c>
      <c r="AD17">
        <f>AA17*Parameters!$C$8</f>
        <v>0.84075</v>
      </c>
      <c r="AE17" s="29">
        <f>AD17/'Scopes ratios details'!$F$61</f>
        <v>1.2550832720656724</v>
      </c>
    </row>
    <row r="18" spans="3:32" x14ac:dyDescent="0.25">
      <c r="Z18" s="250">
        <v>1997</v>
      </c>
      <c r="AA18" s="2">
        <v>0.8</v>
      </c>
      <c r="AB18">
        <f>AA18*Parameters!$C$7*Parameters!$C$12</f>
        <v>7.2</v>
      </c>
      <c r="AC18" s="27">
        <f>AB18/'Deng data'!$I$11</f>
        <v>8.6746987951807242</v>
      </c>
      <c r="AD18">
        <f>AA18*Parameters!$C$8</f>
        <v>0.38</v>
      </c>
      <c r="AE18" s="29">
        <f>AD18/'Scopes ratios details'!$F$61</f>
        <v>0.56726927550990847</v>
      </c>
    </row>
    <row r="19" spans="3:32" x14ac:dyDescent="0.25">
      <c r="Z19" s="250">
        <v>1997</v>
      </c>
      <c r="AA19" s="2">
        <v>1.6</v>
      </c>
      <c r="AB19">
        <f>AA19*Parameters!$C$7*Parameters!$C$12</f>
        <v>14.4</v>
      </c>
      <c r="AC19" s="27">
        <f>AB19/'Deng data'!$I$11</f>
        <v>17.349397590361448</v>
      </c>
      <c r="AD19">
        <f>AA19*Parameters!$C$8</f>
        <v>0.76</v>
      </c>
      <c r="AE19" s="29">
        <f>AD19/'Scopes ratios details'!$F$61</f>
        <v>1.1345385510198169</v>
      </c>
    </row>
    <row r="20" spans="3:32" x14ac:dyDescent="0.25">
      <c r="Z20" s="250">
        <v>1998</v>
      </c>
      <c r="AA20" s="2">
        <v>1.1499999999999999</v>
      </c>
      <c r="AB20">
        <f>AA20*Parameters!$C$7*Parameters!$C$12</f>
        <v>10.35</v>
      </c>
      <c r="AC20" s="27">
        <f>AB20/'Deng data'!$I$11</f>
        <v>12.46987951807229</v>
      </c>
      <c r="AD20">
        <f>AA20*Parameters!$C$8</f>
        <v>0.5462499999999999</v>
      </c>
      <c r="AE20" s="29">
        <f>AD20/'Scopes ratios details'!$F$61</f>
        <v>0.81544958354549324</v>
      </c>
    </row>
    <row r="21" spans="3:32" x14ac:dyDescent="0.25">
      <c r="Z21" s="250">
        <v>1998</v>
      </c>
      <c r="AA21" s="2">
        <v>1.56</v>
      </c>
      <c r="AB21">
        <f>AA21*Parameters!$C$7*Parameters!$C$12</f>
        <v>14.040000000000001</v>
      </c>
      <c r="AC21" s="27">
        <f>AB21/'Deng data'!$I$11</f>
        <v>16.91566265060241</v>
      </c>
      <c r="AD21">
        <f>AA21*Parameters!$C$8</f>
        <v>0.74099999999999999</v>
      </c>
      <c r="AE21" s="29">
        <f>AD21/'Scopes ratios details'!$F$61</f>
        <v>1.1061750872443215</v>
      </c>
    </row>
    <row r="22" spans="3:32" x14ac:dyDescent="0.25">
      <c r="Z22" s="250">
        <v>1996</v>
      </c>
      <c r="AA22" s="2">
        <v>1.52</v>
      </c>
      <c r="AB22">
        <f>AA22*Parameters!$C$7*Parameters!$C$12</f>
        <v>13.68</v>
      </c>
      <c r="AC22" s="27">
        <f>AB22/'Deng data'!$I$11</f>
        <v>16.481927710843372</v>
      </c>
      <c r="AD22">
        <f>AA22*Parameters!$C$8</f>
        <v>0.72199999999999998</v>
      </c>
      <c r="AE22" s="29">
        <f>AD22/'Scopes ratios details'!$F$61</f>
        <v>1.077811623468826</v>
      </c>
    </row>
    <row r="23" spans="3:32" x14ac:dyDescent="0.25">
      <c r="Z23" s="250">
        <v>1999</v>
      </c>
      <c r="AA23" s="2">
        <v>1.35</v>
      </c>
      <c r="AB23">
        <f>AA23*Parameters!$C$7*Parameters!$C$12</f>
        <v>12.15</v>
      </c>
      <c r="AC23" s="27">
        <f>AB23/'Deng data'!$I$11</f>
        <v>14.638554216867471</v>
      </c>
      <c r="AD23">
        <f>AA23*Parameters!$C$8</f>
        <v>0.64124999999999999</v>
      </c>
      <c r="AE23" s="29">
        <f>AD23/'Scopes ratios details'!$F$61</f>
        <v>0.95726690242297041</v>
      </c>
    </row>
    <row r="24" spans="3:32" x14ac:dyDescent="0.25">
      <c r="Z24" s="250">
        <v>2000</v>
      </c>
      <c r="AA24" s="2">
        <v>1.23</v>
      </c>
      <c r="AB24">
        <f>AA24*Parameters!$C$7*Parameters!$C$12</f>
        <v>11.07</v>
      </c>
      <c r="AC24" s="27">
        <f>AB24/'Deng data'!$I$11</f>
        <v>13.337349397590362</v>
      </c>
      <c r="AD24">
        <f>AA24*Parameters!$C$8</f>
        <v>0.58424999999999994</v>
      </c>
      <c r="AE24" s="29">
        <f>AD24/'Scopes ratios details'!$F$61</f>
        <v>0.87217651109648409</v>
      </c>
    </row>
    <row r="25" spans="3:32" x14ac:dyDescent="0.25">
      <c r="Z25" s="250">
        <v>2000</v>
      </c>
      <c r="AA25" s="2">
        <v>1.19</v>
      </c>
      <c r="AB25">
        <f>AA25*Parameters!$C$7*Parameters!$C$12</f>
        <v>10.709999999999999</v>
      </c>
      <c r="AC25" s="27">
        <f>AB25/'Deng data'!$I$11</f>
        <v>12.903614457831324</v>
      </c>
      <c r="AD25">
        <f>AA25*Parameters!$C$8</f>
        <v>0.56524999999999992</v>
      </c>
      <c r="AE25" s="29">
        <f>AD25/'Scopes ratios details'!$F$61</f>
        <v>0.84381304732098861</v>
      </c>
    </row>
    <row r="26" spans="3:32" x14ac:dyDescent="0.25">
      <c r="Z26" s="250">
        <v>2001</v>
      </c>
      <c r="AA26" s="2">
        <v>1.98</v>
      </c>
      <c r="AB26">
        <f>AA26*Parameters!$C$7*Parameters!$C$12</f>
        <v>17.82</v>
      </c>
      <c r="AC26" s="27">
        <f>AB26/'Deng data'!$I$11</f>
        <v>21.46987951807229</v>
      </c>
      <c r="AD26">
        <f>AA26*Parameters!$C$8</f>
        <v>0.9405</v>
      </c>
      <c r="AE26" s="29">
        <f>AD26/'Scopes ratios details'!$F$61</f>
        <v>1.4039914568870233</v>
      </c>
    </row>
    <row r="27" spans="3:32" x14ac:dyDescent="0.25">
      <c r="C27" s="384" t="s">
        <v>1298</v>
      </c>
      <c r="D27" s="384"/>
      <c r="E27" s="384"/>
      <c r="F27" s="384"/>
      <c r="G27" s="384"/>
      <c r="H27" s="384"/>
      <c r="I27" s="384"/>
      <c r="J27" s="384"/>
      <c r="K27" s="384"/>
      <c r="L27" s="384"/>
      <c r="M27" s="384"/>
      <c r="N27" s="384"/>
      <c r="Z27" s="250">
        <v>2002</v>
      </c>
      <c r="AA27" s="2">
        <v>0.5</v>
      </c>
      <c r="AB27">
        <f>AA27*Parameters!$C$7*Parameters!$C$12</f>
        <v>4.5</v>
      </c>
      <c r="AC27" s="27">
        <f>AB27/'Deng data'!$I$11</f>
        <v>5.4216867469879517</v>
      </c>
      <c r="AD27">
        <f>AA27*Parameters!$C$8</f>
        <v>0.23749999999999999</v>
      </c>
      <c r="AE27" s="29">
        <f>AD27/'Scopes ratios details'!$F$61</f>
        <v>0.35454329719369276</v>
      </c>
    </row>
    <row r="28" spans="3:32" x14ac:dyDescent="0.25">
      <c r="C28" s="384"/>
      <c r="D28" s="384"/>
      <c r="E28" s="384"/>
      <c r="F28" s="384"/>
      <c r="G28" s="384"/>
      <c r="H28" s="384"/>
      <c r="I28" s="384"/>
      <c r="J28" s="384"/>
      <c r="K28" s="384"/>
      <c r="L28" s="384"/>
      <c r="M28" s="384"/>
      <c r="N28" s="384"/>
      <c r="Z28" s="250">
        <v>2002</v>
      </c>
      <c r="AA28" s="2">
        <v>0.7</v>
      </c>
      <c r="AB28">
        <f>AA28*Parameters!$C$7*Parameters!$C$12</f>
        <v>6.3</v>
      </c>
      <c r="AC28" s="27">
        <f>AB28/'Deng data'!$I$11</f>
        <v>7.5903614457831328</v>
      </c>
      <c r="AD28">
        <f>AA28*Parameters!$C$8</f>
        <v>0.33249999999999996</v>
      </c>
      <c r="AE28" s="29">
        <f>AD28/'Scopes ratios details'!$F$61</f>
        <v>0.49636061607116982</v>
      </c>
    </row>
    <row r="29" spans="3:32" x14ac:dyDescent="0.25">
      <c r="C29" s="384"/>
      <c r="D29" s="384"/>
      <c r="E29" s="384"/>
      <c r="F29" s="384"/>
      <c r="G29" s="384"/>
      <c r="H29" s="384"/>
      <c r="I29" s="384"/>
      <c r="J29" s="384"/>
      <c r="K29" s="384"/>
      <c r="L29" s="384"/>
      <c r="M29" s="384"/>
      <c r="N29" s="384"/>
      <c r="Z29" s="250">
        <v>2002</v>
      </c>
      <c r="AA29" s="2">
        <v>1.84</v>
      </c>
      <c r="AB29">
        <f>AA29*Parameters!$C$7*Parameters!$C$12</f>
        <v>16.560000000000002</v>
      </c>
      <c r="AC29" s="27">
        <f>AB29/'Deng data'!$I$11</f>
        <v>19.951807228915666</v>
      </c>
      <c r="AD29">
        <f>AA29*Parameters!$C$8</f>
        <v>0.874</v>
      </c>
      <c r="AE29" s="29">
        <f>AD29/'Scopes ratios details'!$F$61</f>
        <v>1.3047193336727894</v>
      </c>
    </row>
    <row r="30" spans="3:32" x14ac:dyDescent="0.25">
      <c r="C30" s="384"/>
      <c r="D30" s="384"/>
      <c r="E30" s="384"/>
      <c r="F30" s="384"/>
      <c r="G30" s="384"/>
      <c r="H30" s="384"/>
      <c r="I30" s="384"/>
      <c r="J30" s="384"/>
      <c r="K30" s="384"/>
      <c r="L30" s="384"/>
      <c r="M30" s="384"/>
      <c r="N30" s="384"/>
      <c r="Z30" s="250">
        <v>2002</v>
      </c>
      <c r="AA30" s="2">
        <v>5.07</v>
      </c>
      <c r="AB30">
        <f>AA30*Parameters!$C$7*Parameters!$C$12</f>
        <v>45.63</v>
      </c>
      <c r="AC30" s="27">
        <f>AB30/'Deng data'!$I$11</f>
        <v>54.975903614457835</v>
      </c>
      <c r="AD30">
        <f>AA30*Parameters!$C$8</f>
        <v>2.4082500000000002</v>
      </c>
      <c r="AE30" s="29">
        <f>AD30/'Scopes ratios details'!$F$61</f>
        <v>3.5950690335440449</v>
      </c>
      <c r="AF30" s="230" t="s">
        <v>1299</v>
      </c>
    </row>
    <row r="31" spans="3:32" x14ac:dyDescent="0.25">
      <c r="C31" s="384"/>
      <c r="D31" s="384"/>
      <c r="E31" s="384"/>
      <c r="F31" s="384"/>
      <c r="G31" s="384"/>
      <c r="H31" s="384"/>
      <c r="I31" s="384"/>
      <c r="J31" s="384"/>
      <c r="K31" s="384"/>
      <c r="L31" s="384"/>
      <c r="M31" s="384"/>
      <c r="N31" s="384"/>
      <c r="Z31" s="250">
        <v>2002</v>
      </c>
      <c r="AA31" s="2">
        <v>3.42</v>
      </c>
      <c r="AB31">
        <f>AA31*Parameters!$C$7*Parameters!$C$12</f>
        <v>30.780000000000005</v>
      </c>
      <c r="AC31" s="27">
        <f>AB31/'Deng data'!$I$11</f>
        <v>37.0843373493976</v>
      </c>
      <c r="AD31">
        <f>AA31*Parameters!$C$8</f>
        <v>1.6244999999999998</v>
      </c>
      <c r="AE31" s="29">
        <f>AD31/'Scopes ratios details'!$F$61</f>
        <v>2.4250761528048583</v>
      </c>
    </row>
    <row r="32" spans="3:32" x14ac:dyDescent="0.25">
      <c r="C32" s="384"/>
      <c r="D32" s="384"/>
      <c r="E32" s="384"/>
      <c r="F32" s="384"/>
      <c r="G32" s="384"/>
      <c r="H32" s="384"/>
      <c r="I32" s="384"/>
      <c r="J32" s="384"/>
      <c r="K32" s="384"/>
      <c r="L32" s="384"/>
      <c r="M32" s="384"/>
      <c r="N32" s="384"/>
      <c r="Z32" s="250">
        <v>2003</v>
      </c>
      <c r="AA32" s="2">
        <v>5.17</v>
      </c>
      <c r="AB32">
        <f>AA32*Parameters!$C$7*Parameters!$C$12</f>
        <v>46.53</v>
      </c>
      <c r="AC32" s="27">
        <f>AB32/'Deng data'!$I$11</f>
        <v>56.060240963855428</v>
      </c>
      <c r="AD32">
        <f>AA32*Parameters!$C$8</f>
        <v>2.4557499999999997</v>
      </c>
      <c r="AE32" s="29">
        <f>AD32/'Scopes ratios details'!$F$61</f>
        <v>3.6659776929827825</v>
      </c>
      <c r="AF32" s="230" t="s">
        <v>1299</v>
      </c>
    </row>
    <row r="33" spans="3:32" x14ac:dyDescent="0.25">
      <c r="C33" s="384"/>
      <c r="D33" s="384"/>
      <c r="E33" s="384"/>
      <c r="F33" s="384"/>
      <c r="G33" s="384"/>
      <c r="H33" s="384"/>
      <c r="I33" s="384"/>
      <c r="J33" s="384"/>
      <c r="K33" s="384"/>
      <c r="L33" s="384"/>
      <c r="M33" s="384"/>
      <c r="N33" s="384"/>
      <c r="Z33" s="250">
        <v>2003</v>
      </c>
      <c r="AA33" s="2">
        <v>1.79</v>
      </c>
      <c r="AB33">
        <f>AA33*Parameters!$C$7*Parameters!$C$12</f>
        <v>16.11</v>
      </c>
      <c r="AC33" s="27">
        <f>AB33/'Deng data'!$I$11</f>
        <v>19.409638554216869</v>
      </c>
      <c r="AD33">
        <f>AA33*Parameters!$C$8</f>
        <v>0.85024999999999995</v>
      </c>
      <c r="AE33" s="29">
        <f>AD33/'Scopes ratios details'!$F$61</f>
        <v>1.2692650039534201</v>
      </c>
    </row>
    <row r="34" spans="3:32" x14ac:dyDescent="0.25">
      <c r="Z34" s="250">
        <v>2005</v>
      </c>
      <c r="AA34" s="2">
        <v>0.4</v>
      </c>
      <c r="AB34">
        <f>AA34*Parameters!$C$7*Parameters!$C$12</f>
        <v>3.6</v>
      </c>
      <c r="AC34" s="27">
        <f>AB34/'Deng data'!$I$11</f>
        <v>4.3373493975903621</v>
      </c>
      <c r="AD34">
        <f>AA34*Parameters!$C$8</f>
        <v>0.19</v>
      </c>
      <c r="AF34" s="230" t="s">
        <v>1300</v>
      </c>
    </row>
    <row r="35" spans="3:32" x14ac:dyDescent="0.25">
      <c r="Z35" s="250">
        <v>2005</v>
      </c>
      <c r="AA35" s="2">
        <v>0.5</v>
      </c>
      <c r="AB35">
        <f>AA35*Parameters!$C$7*Parameters!$C$12</f>
        <v>4.5</v>
      </c>
      <c r="AC35" s="27">
        <f>AB35/'Deng data'!$I$11</f>
        <v>5.4216867469879517</v>
      </c>
      <c r="AD35">
        <f>AA35*Parameters!$C$8</f>
        <v>0.23749999999999999</v>
      </c>
      <c r="AF35" s="230" t="s">
        <v>1300</v>
      </c>
    </row>
    <row r="36" spans="3:32" x14ac:dyDescent="0.25">
      <c r="Z36" s="250">
        <v>2008</v>
      </c>
      <c r="AA36" s="2">
        <v>0.3</v>
      </c>
      <c r="AB36">
        <f>AA36*Parameters!$C$7*Parameters!$C$12</f>
        <v>2.7</v>
      </c>
      <c r="AC36" s="27">
        <f>AB36/'Deng data'!$I$11</f>
        <v>3.2530120481927716</v>
      </c>
      <c r="AD36">
        <f>AA36*Parameters!$C$8</f>
        <v>0.14249999999999999</v>
      </c>
      <c r="AF36" s="230" t="s">
        <v>1300</v>
      </c>
    </row>
    <row r="37" spans="3:32" x14ac:dyDescent="0.25">
      <c r="Z37" s="250">
        <v>2008</v>
      </c>
      <c r="AA37" s="2">
        <v>0.4</v>
      </c>
      <c r="AB37">
        <f>AA37*Parameters!$C$7*Parameters!$C$12</f>
        <v>3.6</v>
      </c>
      <c r="AC37" s="27">
        <f>AB37/'Deng data'!$I$11</f>
        <v>4.3373493975903621</v>
      </c>
      <c r="AD37">
        <f>AA37*Parameters!$C$8</f>
        <v>0.19</v>
      </c>
      <c r="AF37" s="230" t="s">
        <v>1300</v>
      </c>
    </row>
    <row r="38" spans="3:32" x14ac:dyDescent="0.25">
      <c r="Z38" s="250">
        <v>2012</v>
      </c>
      <c r="AA38" s="2">
        <v>0.62</v>
      </c>
      <c r="AB38">
        <f>AA38*Parameters!$C$7*Parameters!$C$12</f>
        <v>5.58</v>
      </c>
      <c r="AC38" s="27">
        <f>AB38/'Deng data'!$I$11</f>
        <v>6.7228915662650603</v>
      </c>
      <c r="AD38">
        <f>AA38*Parameters!$C$8</f>
        <v>0.29449999999999998</v>
      </c>
      <c r="AF38" s="230" t="s">
        <v>1300</v>
      </c>
    </row>
    <row r="41" spans="3:32" ht="47.25" x14ac:dyDescent="0.25">
      <c r="Z41" s="249" t="s">
        <v>3</v>
      </c>
      <c r="AA41" s="249" t="s">
        <v>1301</v>
      </c>
      <c r="AB41" s="239"/>
      <c r="AC41" s="239"/>
      <c r="AD41" s="239"/>
      <c r="AE41" s="239"/>
      <c r="AF41" s="249" t="s">
        <v>7</v>
      </c>
    </row>
    <row r="43" spans="3:32" x14ac:dyDescent="0.25">
      <c r="Z43" s="250">
        <v>1993</v>
      </c>
      <c r="AA43" s="2">
        <v>25.9</v>
      </c>
    </row>
    <row r="44" spans="3:32" x14ac:dyDescent="0.25">
      <c r="Z44" s="250">
        <v>1996</v>
      </c>
      <c r="AA44" s="2">
        <v>6.2</v>
      </c>
    </row>
    <row r="45" spans="3:32" x14ac:dyDescent="0.25">
      <c r="Z45" s="250">
        <v>1996</v>
      </c>
      <c r="AA45" s="2">
        <v>27.9</v>
      </c>
    </row>
    <row r="46" spans="3:32" x14ac:dyDescent="0.25">
      <c r="Z46" s="250">
        <v>1996</v>
      </c>
      <c r="AA46" s="2">
        <v>18.600000000000001</v>
      </c>
    </row>
    <row r="47" spans="3:32" x14ac:dyDescent="0.25">
      <c r="Z47" s="250">
        <v>1997</v>
      </c>
      <c r="AA47" s="2">
        <v>5</v>
      </c>
    </row>
    <row r="48" spans="3:32" x14ac:dyDescent="0.25">
      <c r="Z48" s="250">
        <v>1997</v>
      </c>
      <c r="AA48" s="2">
        <v>29</v>
      </c>
    </row>
    <row r="49" spans="26:27" x14ac:dyDescent="0.25">
      <c r="Z49" s="250">
        <v>1997</v>
      </c>
      <c r="AA49" s="2">
        <v>12.9</v>
      </c>
    </row>
    <row r="50" spans="26:27" x14ac:dyDescent="0.25">
      <c r="Z50" s="250">
        <v>1997</v>
      </c>
      <c r="AA50" s="2">
        <v>17.600000000000001</v>
      </c>
    </row>
    <row r="51" spans="26:27" x14ac:dyDescent="0.25">
      <c r="Z51" s="250">
        <v>1997</v>
      </c>
      <c r="AA51" s="2">
        <v>17</v>
      </c>
    </row>
    <row r="52" spans="26:27" x14ac:dyDescent="0.25">
      <c r="Z52" s="250">
        <v>1997</v>
      </c>
      <c r="AA52" s="2">
        <v>18</v>
      </c>
    </row>
    <row r="53" spans="26:27" x14ac:dyDescent="0.25">
      <c r="Z53" s="250">
        <v>1998</v>
      </c>
      <c r="AA53" s="2">
        <v>19.899999999999999</v>
      </c>
    </row>
    <row r="54" spans="26:27" x14ac:dyDescent="0.25">
      <c r="Z54" s="250">
        <v>1998</v>
      </c>
      <c r="AA54" s="2">
        <v>5.9</v>
      </c>
    </row>
    <row r="55" spans="26:27" x14ac:dyDescent="0.25">
      <c r="Z55" s="250">
        <v>1998</v>
      </c>
      <c r="AA55" s="2">
        <v>14.7</v>
      </c>
    </row>
    <row r="56" spans="26:27" x14ac:dyDescent="0.25">
      <c r="Z56" s="250">
        <v>1998</v>
      </c>
      <c r="AA56" s="2">
        <v>20.5</v>
      </c>
    </row>
    <row r="57" spans="26:27" x14ac:dyDescent="0.25">
      <c r="Z57" s="250">
        <v>1998</v>
      </c>
      <c r="AA57" s="2">
        <v>5.9</v>
      </c>
    </row>
    <row r="58" spans="26:27" x14ac:dyDescent="0.25">
      <c r="Z58" s="250">
        <v>1998</v>
      </c>
      <c r="AA58" s="2">
        <v>8.8000000000000007</v>
      </c>
    </row>
    <row r="59" spans="26:27" x14ac:dyDescent="0.25">
      <c r="Z59" s="250">
        <v>1998</v>
      </c>
      <c r="AA59" s="2">
        <v>12.9</v>
      </c>
    </row>
    <row r="60" spans="26:27" x14ac:dyDescent="0.25">
      <c r="Z60" s="250">
        <v>1998</v>
      </c>
      <c r="AA60" s="2">
        <v>20.5</v>
      </c>
    </row>
    <row r="61" spans="26:27" x14ac:dyDescent="0.25">
      <c r="Z61" s="250">
        <v>1998</v>
      </c>
      <c r="AA61" s="2">
        <v>21.1</v>
      </c>
    </row>
    <row r="62" spans="26:27" x14ac:dyDescent="0.25">
      <c r="Z62" s="250">
        <v>1998</v>
      </c>
      <c r="AA62" s="2">
        <v>29.3</v>
      </c>
    </row>
    <row r="63" spans="26:27" x14ac:dyDescent="0.25">
      <c r="Z63" s="250">
        <v>1998</v>
      </c>
      <c r="AA63" s="2">
        <v>11.7</v>
      </c>
    </row>
    <row r="64" spans="26:27" x14ac:dyDescent="0.25">
      <c r="Z64" s="250">
        <v>1998</v>
      </c>
      <c r="AA64" s="2">
        <v>12.3</v>
      </c>
    </row>
    <row r="65" spans="26:27" x14ac:dyDescent="0.25">
      <c r="Z65" s="250">
        <v>1998</v>
      </c>
      <c r="AA65" s="2">
        <v>13.5</v>
      </c>
    </row>
    <row r="66" spans="26:27" x14ac:dyDescent="0.25">
      <c r="Z66" s="250">
        <v>1998</v>
      </c>
      <c r="AA66" s="2">
        <v>15.3</v>
      </c>
    </row>
    <row r="67" spans="26:27" x14ac:dyDescent="0.25">
      <c r="Z67" s="250">
        <v>1998</v>
      </c>
      <c r="AA67" s="2">
        <v>23.5</v>
      </c>
    </row>
    <row r="68" spans="26:27" x14ac:dyDescent="0.25">
      <c r="Z68" s="250">
        <v>1998</v>
      </c>
      <c r="AA68" s="2">
        <v>23.5</v>
      </c>
    </row>
    <row r="69" spans="26:27" x14ac:dyDescent="0.25">
      <c r="Z69" s="250">
        <v>1999</v>
      </c>
      <c r="AA69" s="2">
        <v>8.1</v>
      </c>
    </row>
    <row r="70" spans="26:27" x14ac:dyDescent="0.25">
      <c r="Z70" s="250">
        <v>1999</v>
      </c>
      <c r="AA70" s="2">
        <v>7.6</v>
      </c>
    </row>
    <row r="71" spans="26:27" x14ac:dyDescent="0.25">
      <c r="Z71" s="250">
        <v>1999</v>
      </c>
      <c r="AA71" s="2">
        <v>13.5</v>
      </c>
    </row>
    <row r="72" spans="26:27" x14ac:dyDescent="0.25">
      <c r="Z72" s="250">
        <v>2000</v>
      </c>
      <c r="AA72" s="2">
        <v>7.6</v>
      </c>
    </row>
    <row r="73" spans="26:27" x14ac:dyDescent="0.25">
      <c r="Z73" s="250">
        <v>2000</v>
      </c>
      <c r="AA73" s="2">
        <v>5.9</v>
      </c>
    </row>
    <row r="74" spans="26:27" x14ac:dyDescent="0.25">
      <c r="Z74" s="250">
        <v>2000</v>
      </c>
      <c r="AA74" s="2">
        <v>14.5</v>
      </c>
    </row>
    <row r="75" spans="26:27" x14ac:dyDescent="0.25">
      <c r="Z75" s="250">
        <v>2000</v>
      </c>
      <c r="AA75" s="2">
        <v>17.600000000000001</v>
      </c>
    </row>
    <row r="76" spans="26:27" x14ac:dyDescent="0.25">
      <c r="Z76" s="250">
        <v>2000</v>
      </c>
      <c r="AA76" s="2">
        <v>6</v>
      </c>
    </row>
    <row r="77" spans="26:27" x14ac:dyDescent="0.25">
      <c r="Z77" s="250">
        <v>2000</v>
      </c>
      <c r="AA77" s="2">
        <v>24</v>
      </c>
    </row>
    <row r="78" spans="26:27" x14ac:dyDescent="0.25">
      <c r="Z78" s="250">
        <v>2000</v>
      </c>
      <c r="AA78" s="2">
        <v>18</v>
      </c>
    </row>
    <row r="79" spans="26:27" x14ac:dyDescent="0.25">
      <c r="Z79" s="250">
        <v>2001</v>
      </c>
      <c r="AA79" s="2">
        <v>5.9</v>
      </c>
    </row>
    <row r="80" spans="26:27" x14ac:dyDescent="0.25">
      <c r="Z80" s="250">
        <v>2001</v>
      </c>
      <c r="AA80" s="2">
        <v>8</v>
      </c>
    </row>
    <row r="81" spans="26:32" x14ac:dyDescent="0.25">
      <c r="Z81" s="250">
        <v>2002</v>
      </c>
      <c r="AA81" s="2">
        <v>9.3000000000000007</v>
      </c>
    </row>
    <row r="82" spans="26:32" x14ac:dyDescent="0.25">
      <c r="Z82" s="250">
        <v>2002</v>
      </c>
      <c r="AA82" s="2">
        <v>28.7</v>
      </c>
    </row>
    <row r="83" spans="26:32" x14ac:dyDescent="0.25">
      <c r="Z83" s="250">
        <v>2003</v>
      </c>
      <c r="AA83" s="2">
        <v>9.3000000000000007</v>
      </c>
    </row>
    <row r="84" spans="26:32" x14ac:dyDescent="0.25">
      <c r="Z84" s="250">
        <v>2003</v>
      </c>
      <c r="AA84" s="2">
        <v>9.4</v>
      </c>
    </row>
    <row r="85" spans="26:32" x14ac:dyDescent="0.25">
      <c r="Z85" s="250">
        <v>2003</v>
      </c>
      <c r="AA85" s="2">
        <v>5</v>
      </c>
      <c r="AF85" s="230" t="s">
        <v>1300</v>
      </c>
    </row>
    <row r="86" spans="26:32" x14ac:dyDescent="0.25">
      <c r="Z86" s="250">
        <v>2005</v>
      </c>
      <c r="AA86" s="2">
        <v>7</v>
      </c>
      <c r="AF86" s="230" t="s">
        <v>1300</v>
      </c>
    </row>
    <row r="87" spans="26:32" x14ac:dyDescent="0.25">
      <c r="Z87" s="250">
        <v>2005</v>
      </c>
      <c r="AA87" s="2">
        <v>2.4</v>
      </c>
      <c r="AF87" s="230" t="s">
        <v>1300</v>
      </c>
    </row>
    <row r="88" spans="26:32" x14ac:dyDescent="0.25">
      <c r="Z88" s="250">
        <v>2005</v>
      </c>
      <c r="AA88" s="2">
        <v>3.5</v>
      </c>
      <c r="AF88" s="230" t="s">
        <v>1300</v>
      </c>
    </row>
    <row r="89" spans="26:32" x14ac:dyDescent="0.25">
      <c r="Z89" s="250">
        <v>2005</v>
      </c>
      <c r="AA89" s="2">
        <v>7.9</v>
      </c>
      <c r="AF89" s="230" t="s">
        <v>1300</v>
      </c>
    </row>
    <row r="90" spans="26:32" x14ac:dyDescent="0.25">
      <c r="Z90" s="250">
        <v>2005</v>
      </c>
      <c r="AA90" s="2">
        <v>7.9</v>
      </c>
      <c r="AF90" s="230" t="s">
        <v>1300</v>
      </c>
    </row>
    <row r="91" spans="26:32" x14ac:dyDescent="0.25">
      <c r="Z91" s="250">
        <v>2005</v>
      </c>
      <c r="AA91" s="2">
        <v>2.9</v>
      </c>
      <c r="AF91" s="230" t="s">
        <v>1300</v>
      </c>
    </row>
    <row r="92" spans="26:32" x14ac:dyDescent="0.25">
      <c r="Z92" s="250">
        <v>2011</v>
      </c>
      <c r="AA92" s="2">
        <v>5.2</v>
      </c>
      <c r="AF92" s="230" t="s">
        <v>1300</v>
      </c>
    </row>
    <row r="93" spans="26:32" x14ac:dyDescent="0.25">
      <c r="Z93" s="250">
        <v>2014</v>
      </c>
      <c r="AA93" s="2">
        <v>1.2</v>
      </c>
      <c r="AF93" s="230" t="s">
        <v>1300</v>
      </c>
    </row>
  </sheetData>
  <mergeCells count="1">
    <mergeCell ref="C27:N33"/>
  </mergeCells>
  <hyperlinks>
    <hyperlink ref="C2" r:id="rId1" xr:uid="{6AA3626F-F94B-4115-9D60-86DECC38982E}"/>
  </hyperlinks>
  <pageMargins left="0.7" right="0.7" top="0.75" bottom="0.75" header="0.3" footer="0.3"/>
  <pageSetup paperSize="9" orientation="portrait" r:id="rId2"/>
  <drawing r:id="rId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616978-F5E2-46D0-BE46-1F984A27C824}">
  <sheetPr>
    <tabColor rgb="FF44546A"/>
  </sheetPr>
  <dimension ref="A2:M12"/>
  <sheetViews>
    <sheetView workbookViewId="0">
      <selection activeCell="Q20" sqref="Q20"/>
    </sheetView>
  </sheetViews>
  <sheetFormatPr defaultRowHeight="15.75" x14ac:dyDescent="0.25"/>
  <cols>
    <col min="1" max="1" width="1.25" style="216" customWidth="1"/>
    <col min="3" max="3" width="11.5" customWidth="1"/>
    <col min="5" max="5" width="18.875" customWidth="1"/>
    <col min="12" max="12" width="25.25" customWidth="1"/>
    <col min="13" max="13" width="1.25" style="216" customWidth="1"/>
  </cols>
  <sheetData>
    <row r="2" spans="2:12" x14ac:dyDescent="0.25">
      <c r="B2" s="237" t="s">
        <v>507</v>
      </c>
      <c r="C2" s="167" t="s">
        <v>384</v>
      </c>
    </row>
    <row r="4" spans="2:12" ht="21" x14ac:dyDescent="0.25">
      <c r="B4" s="402" t="s">
        <v>555</v>
      </c>
      <c r="C4" s="402"/>
      <c r="D4" s="402"/>
      <c r="I4" s="402" t="s">
        <v>556</v>
      </c>
      <c r="J4" s="402"/>
      <c r="K4" s="402"/>
    </row>
    <row r="5" spans="2:12" x14ac:dyDescent="0.25">
      <c r="C5" s="239" t="s">
        <v>1302</v>
      </c>
      <c r="D5" s="251"/>
      <c r="E5" t="s">
        <v>1303</v>
      </c>
      <c r="J5" s="239" t="s">
        <v>1302</v>
      </c>
      <c r="K5" s="251"/>
      <c r="L5" t="s">
        <v>1304</v>
      </c>
    </row>
    <row r="6" spans="2:12" x14ac:dyDescent="0.25">
      <c r="C6" t="s">
        <v>1305</v>
      </c>
      <c r="D6">
        <v>1.27</v>
      </c>
      <c r="E6" t="s">
        <v>1000</v>
      </c>
      <c r="K6">
        <v>7.88</v>
      </c>
      <c r="L6" t="s">
        <v>551</v>
      </c>
    </row>
    <row r="7" spans="2:12" x14ac:dyDescent="0.25">
      <c r="C7" t="s">
        <v>1306</v>
      </c>
      <c r="D7">
        <v>0.16</v>
      </c>
      <c r="E7" t="s">
        <v>1000</v>
      </c>
    </row>
    <row r="8" spans="2:12" x14ac:dyDescent="0.25">
      <c r="C8" s="239" t="s">
        <v>1307</v>
      </c>
      <c r="D8" s="251"/>
      <c r="E8" t="s">
        <v>1308</v>
      </c>
    </row>
    <row r="9" spans="2:12" x14ac:dyDescent="0.25">
      <c r="C9" t="s">
        <v>1305</v>
      </c>
      <c r="D9">
        <v>0.55000000000000004</v>
      </c>
      <c r="E9" t="s">
        <v>1000</v>
      </c>
    </row>
    <row r="10" spans="2:12" x14ac:dyDescent="0.25">
      <c r="C10" t="s">
        <v>1306</v>
      </c>
      <c r="D10">
        <v>7.0000000000000007E-2</v>
      </c>
      <c r="E10" t="s">
        <v>1000</v>
      </c>
      <c r="F10" t="s">
        <v>1309</v>
      </c>
      <c r="G10" t="s">
        <v>1310</v>
      </c>
    </row>
    <row r="12" spans="2:12" x14ac:dyDescent="0.25">
      <c r="C12" s="16" t="s">
        <v>1311</v>
      </c>
      <c r="D12" s="252">
        <f>(D6+D9)*Parameters!C12*Parameters!C3+(D7+D10)*Parameters!C12*Parameters!C6</f>
        <v>17.208000000000002</v>
      </c>
      <c r="E12" s="17" t="s">
        <v>552</v>
      </c>
      <c r="J12" s="16" t="s">
        <v>1311</v>
      </c>
      <c r="K12" s="252">
        <f>K6</f>
        <v>7.88</v>
      </c>
      <c r="L12" s="17" t="s">
        <v>551</v>
      </c>
    </row>
  </sheetData>
  <mergeCells count="2">
    <mergeCell ref="B4:D4"/>
    <mergeCell ref="I4:K4"/>
  </mergeCells>
  <hyperlinks>
    <hyperlink ref="C2" r:id="rId1" xr:uid="{DD0CFBD9-7A38-4990-9BAD-7DEE3AF3575F}"/>
  </hyperlinks>
  <pageMargins left="0.7" right="0.7" top="0.75" bottom="0.75" header="0.3" footer="0.3"/>
  <pageSetup paperSize="9" orientation="portrait" r:id="rId2"/>
  <drawing r:id="rId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5BA3C3-DD0B-4CC3-8888-69B1D8FC6A1C}">
  <sheetPr>
    <tabColor rgb="FF44546A"/>
  </sheetPr>
  <dimension ref="A2:V10"/>
  <sheetViews>
    <sheetView workbookViewId="0">
      <selection activeCell="Z18" sqref="Z18"/>
    </sheetView>
  </sheetViews>
  <sheetFormatPr defaultRowHeight="15.75" x14ac:dyDescent="0.25"/>
  <cols>
    <col min="1" max="1" width="1.25" style="216" customWidth="1"/>
    <col min="3" max="3" width="11.75" customWidth="1"/>
    <col min="4" max="4" width="14.875" customWidth="1"/>
    <col min="5" max="5" width="12.75" customWidth="1"/>
    <col min="7" max="7" width="15.625" customWidth="1"/>
    <col min="8" max="8" width="17.625" customWidth="1"/>
    <col min="9" max="9" width="20.625" customWidth="1"/>
    <col min="11" max="11" width="1.25" style="216" customWidth="1"/>
    <col min="22" max="22" width="1.25" style="216" customWidth="1"/>
  </cols>
  <sheetData>
    <row r="2" spans="2:19" x14ac:dyDescent="0.25">
      <c r="B2" s="237" t="s">
        <v>507</v>
      </c>
      <c r="C2" s="167" t="s">
        <v>71</v>
      </c>
      <c r="L2" s="237" t="s">
        <v>507</v>
      </c>
      <c r="M2" s="167" t="s">
        <v>1312</v>
      </c>
    </row>
    <row r="4" spans="2:19" ht="21" x14ac:dyDescent="0.25">
      <c r="C4" s="402" t="s">
        <v>67</v>
      </c>
      <c r="D4" s="402"/>
      <c r="E4" t="s">
        <v>1313</v>
      </c>
      <c r="G4" s="402" t="s">
        <v>555</v>
      </c>
      <c r="H4" s="402"/>
      <c r="I4" t="s">
        <v>1313</v>
      </c>
      <c r="M4" s="402" t="s">
        <v>67</v>
      </c>
      <c r="N4" s="402"/>
      <c r="O4" t="s">
        <v>1314</v>
      </c>
      <c r="Q4" s="402" t="s">
        <v>555</v>
      </c>
      <c r="R4" s="402"/>
      <c r="S4" t="s">
        <v>1314</v>
      </c>
    </row>
    <row r="5" spans="2:19" x14ac:dyDescent="0.25">
      <c r="C5" s="14" t="s">
        <v>1302</v>
      </c>
      <c r="D5">
        <v>3.4</v>
      </c>
      <c r="E5" t="s">
        <v>550</v>
      </c>
      <c r="G5" s="14" t="s">
        <v>1302</v>
      </c>
      <c r="H5">
        <v>60.3</v>
      </c>
      <c r="I5" t="s">
        <v>552</v>
      </c>
      <c r="M5" s="14" t="s">
        <v>1302</v>
      </c>
      <c r="N5">
        <f>0.9+1.5+0.5+0.4</f>
        <v>3.3</v>
      </c>
      <c r="O5" t="s">
        <v>550</v>
      </c>
      <c r="Q5" s="14" t="s">
        <v>1302</v>
      </c>
      <c r="R5">
        <f>(33.6+17.9+5.9+2.9)</f>
        <v>60.3</v>
      </c>
      <c r="S5" t="s">
        <v>552</v>
      </c>
    </row>
    <row r="6" spans="2:19" x14ac:dyDescent="0.25">
      <c r="C6" s="14" t="s">
        <v>1307</v>
      </c>
      <c r="D6">
        <v>2</v>
      </c>
      <c r="E6" t="s">
        <v>550</v>
      </c>
      <c r="G6" s="14" t="s">
        <v>1307</v>
      </c>
      <c r="H6">
        <v>34.6</v>
      </c>
      <c r="I6" t="s">
        <v>552</v>
      </c>
      <c r="M6" s="14"/>
      <c r="Q6" s="14"/>
    </row>
    <row r="8" spans="2:19" x14ac:dyDescent="0.25">
      <c r="C8" s="16" t="s">
        <v>1311</v>
      </c>
      <c r="D8" s="252">
        <f>D5+D6</f>
        <v>5.4</v>
      </c>
      <c r="E8" s="17" t="s">
        <v>550</v>
      </c>
      <c r="G8" s="16" t="s">
        <v>1311</v>
      </c>
      <c r="H8" s="252">
        <f>H5+H6</f>
        <v>94.9</v>
      </c>
      <c r="I8" s="17" t="s">
        <v>552</v>
      </c>
      <c r="M8" s="16" t="s">
        <v>1311</v>
      </c>
      <c r="N8" s="252">
        <f>N5</f>
        <v>3.3</v>
      </c>
      <c r="O8" s="17" t="s">
        <v>550</v>
      </c>
      <c r="Q8" s="16" t="s">
        <v>1311</v>
      </c>
      <c r="R8" s="252">
        <f>R5</f>
        <v>60.3</v>
      </c>
      <c r="S8" s="17" t="s">
        <v>552</v>
      </c>
    </row>
    <row r="10" spans="2:19" x14ac:dyDescent="0.25">
      <c r="C10" s="26" t="s">
        <v>1315</v>
      </c>
      <c r="M10" t="s">
        <v>1316</v>
      </c>
    </row>
  </sheetData>
  <mergeCells count="4">
    <mergeCell ref="C4:D4"/>
    <mergeCell ref="G4:H4"/>
    <mergeCell ref="M4:N4"/>
    <mergeCell ref="Q4:R4"/>
  </mergeCells>
  <hyperlinks>
    <hyperlink ref="C2" r:id="rId1" xr:uid="{CF4D0081-77D0-4809-B2F1-C6F421802AAE}"/>
    <hyperlink ref="M2" r:id="rId2" xr:uid="{C38D306E-5E09-4A50-BC24-C87732D1DEFF}"/>
  </hyperlinks>
  <pageMargins left="0.7" right="0.7" top="0.75" bottom="0.75" header="0.3" footer="0.3"/>
  <pageSetup paperSize="9" orientation="portrait" r:id="rId3"/>
  <drawing r:id="rId4"/>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3D3D38-FBDD-4589-9F5E-0355AEE7421E}">
  <sheetPr>
    <tabColor rgb="FF44546A"/>
  </sheetPr>
  <dimension ref="A2:P9"/>
  <sheetViews>
    <sheetView workbookViewId="0">
      <selection activeCell="C4" sqref="C4:D4"/>
    </sheetView>
  </sheetViews>
  <sheetFormatPr defaultRowHeight="15.75" x14ac:dyDescent="0.25"/>
  <cols>
    <col min="1" max="1" width="1.25" style="216" customWidth="1"/>
    <col min="3" max="3" width="22.25" customWidth="1"/>
    <col min="5" max="5" width="20" customWidth="1"/>
    <col min="12" max="12" width="1.25" style="216" customWidth="1"/>
    <col min="16" max="16" width="73.875" customWidth="1"/>
  </cols>
  <sheetData>
    <row r="2" spans="2:16" x14ac:dyDescent="0.25">
      <c r="B2" s="237" t="s">
        <v>507</v>
      </c>
      <c r="C2" s="167" t="s">
        <v>123</v>
      </c>
    </row>
    <row r="4" spans="2:16" ht="21" x14ac:dyDescent="0.25">
      <c r="C4" s="402" t="s">
        <v>67</v>
      </c>
      <c r="D4" s="402"/>
    </row>
    <row r="5" spans="2:16" x14ac:dyDescent="0.25">
      <c r="C5" s="14" t="s">
        <v>1317</v>
      </c>
      <c r="D5">
        <f>21000/10000</f>
        <v>2.1</v>
      </c>
      <c r="E5" t="s">
        <v>550</v>
      </c>
    </row>
    <row r="6" spans="2:16" x14ac:dyDescent="0.25">
      <c r="C6" s="14" t="s">
        <v>1318</v>
      </c>
      <c r="D6">
        <f>6900/10000</f>
        <v>0.69</v>
      </c>
      <c r="E6" t="s">
        <v>550</v>
      </c>
    </row>
    <row r="9" spans="2:16" x14ac:dyDescent="0.25">
      <c r="P9" s="11"/>
    </row>
  </sheetData>
  <mergeCells count="1">
    <mergeCell ref="C4:D4"/>
  </mergeCells>
  <hyperlinks>
    <hyperlink ref="C2" r:id="rId1" xr:uid="{EAD9D09E-19DF-444D-A4A3-565ACD43F222}"/>
  </hyperlinks>
  <pageMargins left="0.7" right="0.7" top="0.75" bottom="0.75" header="0.3" footer="0.3"/>
  <pageSetup paperSize="9" orientation="portrait" r:id="rId2"/>
  <drawing r:id="rId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309C33-8A82-45E3-8229-221A2F237C50}">
  <sheetPr>
    <tabColor rgb="FF44546A"/>
  </sheetPr>
  <dimension ref="A2:M37"/>
  <sheetViews>
    <sheetView workbookViewId="0">
      <selection activeCell="G28" sqref="G28:H28"/>
    </sheetView>
  </sheetViews>
  <sheetFormatPr defaultRowHeight="15.75" x14ac:dyDescent="0.25"/>
  <cols>
    <col min="1" max="1" width="1.25" style="216" customWidth="1"/>
    <col min="7" max="8" width="19.875" customWidth="1"/>
    <col min="10" max="10" width="13.375" customWidth="1"/>
    <col min="11" max="11" width="16.5" customWidth="1"/>
    <col min="13" max="13" width="1.25" style="216" customWidth="1"/>
  </cols>
  <sheetData>
    <row r="2" spans="2:11" x14ac:dyDescent="0.25">
      <c r="B2" s="237" t="s">
        <v>507</v>
      </c>
      <c r="C2" s="167" t="s">
        <v>705</v>
      </c>
    </row>
    <row r="4" spans="2:11" x14ac:dyDescent="0.25">
      <c r="D4" t="s">
        <v>1319</v>
      </c>
      <c r="E4" t="s">
        <v>1320</v>
      </c>
      <c r="G4" t="s">
        <v>1321</v>
      </c>
    </row>
    <row r="5" spans="2:11" ht="21" x14ac:dyDescent="0.25">
      <c r="B5" s="402" t="s">
        <v>1322</v>
      </c>
      <c r="C5" s="402"/>
      <c r="D5" s="402"/>
      <c r="E5" s="402"/>
      <c r="F5" s="402"/>
      <c r="G5" s="402"/>
      <c r="H5" s="402"/>
      <c r="I5" s="402"/>
      <c r="J5" s="402"/>
      <c r="K5" s="402"/>
    </row>
    <row r="6" spans="2:11" ht="47.25" x14ac:dyDescent="0.25">
      <c r="B6" s="239" t="s">
        <v>1323</v>
      </c>
      <c r="C6" s="239"/>
      <c r="D6" s="239" t="s">
        <v>67</v>
      </c>
      <c r="E6" s="239" t="s">
        <v>1324</v>
      </c>
      <c r="F6" s="239"/>
      <c r="G6" s="239" t="s">
        <v>1325</v>
      </c>
      <c r="H6" s="239" t="s">
        <v>1326</v>
      </c>
      <c r="I6" s="239"/>
      <c r="J6" s="242" t="s">
        <v>1327</v>
      </c>
      <c r="K6" s="242" t="s">
        <v>1328</v>
      </c>
    </row>
    <row r="8" spans="2:11" x14ac:dyDescent="0.25">
      <c r="B8" t="s">
        <v>1329</v>
      </c>
      <c r="D8">
        <v>79</v>
      </c>
      <c r="E8">
        <v>1223</v>
      </c>
      <c r="G8">
        <v>2195</v>
      </c>
      <c r="H8">
        <f>G8/100</f>
        <v>21.95</v>
      </c>
      <c r="J8" s="27">
        <f>D8/H8</f>
        <v>3.5990888382687927</v>
      </c>
      <c r="K8" s="27">
        <f>E8/H8</f>
        <v>55.71753986332574</v>
      </c>
    </row>
    <row r="9" spans="2:11" x14ac:dyDescent="0.25">
      <c r="B9" t="s">
        <v>1330</v>
      </c>
      <c r="D9">
        <v>21.5</v>
      </c>
      <c r="E9">
        <v>318</v>
      </c>
      <c r="G9">
        <v>500</v>
      </c>
      <c r="H9">
        <f t="shared" ref="H9:H21" si="0">G9/100</f>
        <v>5</v>
      </c>
      <c r="J9" s="27">
        <f t="shared" ref="J9:J21" si="1">D9/H9</f>
        <v>4.3</v>
      </c>
      <c r="K9" s="27">
        <f t="shared" ref="K9:K21" si="2">E9/H9</f>
        <v>63.6</v>
      </c>
    </row>
    <row r="10" spans="2:11" x14ac:dyDescent="0.25">
      <c r="B10" t="s">
        <v>1331</v>
      </c>
      <c r="D10">
        <v>9.4</v>
      </c>
      <c r="E10">
        <v>138</v>
      </c>
      <c r="G10">
        <v>218</v>
      </c>
      <c r="H10">
        <f t="shared" si="0"/>
        <v>2.1800000000000002</v>
      </c>
      <c r="J10" s="27">
        <f t="shared" si="1"/>
        <v>4.3119266055045866</v>
      </c>
      <c r="K10" s="27">
        <f t="shared" si="2"/>
        <v>63.302752293577974</v>
      </c>
    </row>
    <row r="11" spans="2:11" x14ac:dyDescent="0.25">
      <c r="B11" t="s">
        <v>1332</v>
      </c>
      <c r="D11">
        <v>5.4</v>
      </c>
      <c r="E11">
        <v>80</v>
      </c>
      <c r="G11">
        <v>126</v>
      </c>
      <c r="H11">
        <f t="shared" si="0"/>
        <v>1.26</v>
      </c>
      <c r="J11" s="27">
        <f t="shared" si="1"/>
        <v>4.2857142857142856</v>
      </c>
      <c r="K11" s="27">
        <f t="shared" si="2"/>
        <v>63.492063492063494</v>
      </c>
    </row>
    <row r="12" spans="2:11" x14ac:dyDescent="0.25">
      <c r="B12" t="s">
        <v>1333</v>
      </c>
      <c r="D12">
        <v>17</v>
      </c>
      <c r="E12">
        <v>256</v>
      </c>
      <c r="G12">
        <v>355</v>
      </c>
      <c r="H12">
        <f t="shared" si="0"/>
        <v>3.55</v>
      </c>
      <c r="J12" s="27">
        <f t="shared" si="1"/>
        <v>4.788732394366197</v>
      </c>
      <c r="K12" s="27">
        <f t="shared" si="2"/>
        <v>72.112676056338032</v>
      </c>
    </row>
    <row r="13" spans="2:11" x14ac:dyDescent="0.25">
      <c r="B13" t="s">
        <v>1334</v>
      </c>
      <c r="D13">
        <v>1</v>
      </c>
      <c r="E13">
        <v>16</v>
      </c>
      <c r="G13">
        <v>22</v>
      </c>
      <c r="H13">
        <f t="shared" si="0"/>
        <v>0.22</v>
      </c>
      <c r="J13" s="27">
        <f t="shared" si="1"/>
        <v>4.5454545454545459</v>
      </c>
      <c r="K13" s="27">
        <f t="shared" si="2"/>
        <v>72.727272727272734</v>
      </c>
    </row>
    <row r="14" spans="2:11" x14ac:dyDescent="0.25">
      <c r="B14" t="s">
        <v>1335</v>
      </c>
      <c r="D14">
        <v>67.8</v>
      </c>
      <c r="E14">
        <v>1003</v>
      </c>
      <c r="G14">
        <v>1577</v>
      </c>
      <c r="H14">
        <f t="shared" si="0"/>
        <v>15.77</v>
      </c>
      <c r="J14" s="27">
        <f t="shared" si="1"/>
        <v>4.2993024730500951</v>
      </c>
      <c r="K14" s="27">
        <f t="shared" si="2"/>
        <v>63.601775523145214</v>
      </c>
    </row>
    <row r="15" spans="2:11" x14ac:dyDescent="0.25">
      <c r="B15" t="s">
        <v>1336</v>
      </c>
      <c r="D15">
        <v>20.8</v>
      </c>
      <c r="E15">
        <v>307</v>
      </c>
      <c r="G15">
        <v>483</v>
      </c>
      <c r="H15">
        <f t="shared" si="0"/>
        <v>4.83</v>
      </c>
      <c r="J15" s="27">
        <f t="shared" si="1"/>
        <v>4.3064182194616976</v>
      </c>
      <c r="K15" s="27">
        <f t="shared" si="2"/>
        <v>63.561076604554863</v>
      </c>
    </row>
    <row r="16" spans="2:11" x14ac:dyDescent="0.25">
      <c r="B16" t="s">
        <v>1337</v>
      </c>
      <c r="D16">
        <v>19.899999999999999</v>
      </c>
      <c r="E16">
        <v>294</v>
      </c>
      <c r="G16">
        <v>463</v>
      </c>
      <c r="H16">
        <f t="shared" si="0"/>
        <v>4.63</v>
      </c>
      <c r="J16" s="27">
        <f t="shared" si="1"/>
        <v>4.2980561555075596</v>
      </c>
      <c r="K16" s="27">
        <f t="shared" si="2"/>
        <v>63.498920086393092</v>
      </c>
    </row>
    <row r="17" spans="2:11" x14ac:dyDescent="0.25">
      <c r="B17" t="s">
        <v>1338</v>
      </c>
      <c r="D17">
        <v>7.3</v>
      </c>
      <c r="E17">
        <v>108</v>
      </c>
      <c r="G17">
        <v>170</v>
      </c>
      <c r="H17">
        <f t="shared" si="0"/>
        <v>1.7</v>
      </c>
      <c r="J17" s="27">
        <f t="shared" si="1"/>
        <v>4.2941176470588234</v>
      </c>
      <c r="K17" s="27">
        <f t="shared" si="2"/>
        <v>63.529411764705884</v>
      </c>
    </row>
    <row r="18" spans="2:11" x14ac:dyDescent="0.25">
      <c r="B18" t="s">
        <v>1339</v>
      </c>
      <c r="D18">
        <v>2.2000000000000002</v>
      </c>
      <c r="E18">
        <v>33</v>
      </c>
      <c r="G18">
        <v>52</v>
      </c>
      <c r="H18">
        <f t="shared" si="0"/>
        <v>0.52</v>
      </c>
      <c r="J18" s="27">
        <f t="shared" si="1"/>
        <v>4.2307692307692308</v>
      </c>
      <c r="K18" s="27">
        <f t="shared" si="2"/>
        <v>63.46153846153846</v>
      </c>
    </row>
    <row r="19" spans="2:11" x14ac:dyDescent="0.25">
      <c r="B19" t="s">
        <v>1340</v>
      </c>
      <c r="D19">
        <v>3.6</v>
      </c>
      <c r="E19">
        <v>53</v>
      </c>
      <c r="G19">
        <v>66</v>
      </c>
      <c r="H19">
        <f t="shared" si="0"/>
        <v>0.66</v>
      </c>
      <c r="J19" s="27">
        <f t="shared" si="1"/>
        <v>5.4545454545454541</v>
      </c>
      <c r="K19" s="27">
        <f t="shared" si="2"/>
        <v>80.303030303030297</v>
      </c>
    </row>
    <row r="20" spans="2:11" x14ac:dyDescent="0.25">
      <c r="B20" t="s">
        <v>1341</v>
      </c>
      <c r="D20">
        <v>72.400000000000006</v>
      </c>
      <c r="E20">
        <v>961</v>
      </c>
      <c r="G20">
        <v>1683</v>
      </c>
      <c r="H20">
        <f t="shared" si="0"/>
        <v>16.829999999999998</v>
      </c>
      <c r="J20" s="27">
        <f t="shared" si="1"/>
        <v>4.3018419489007735</v>
      </c>
      <c r="K20" s="27">
        <f t="shared" si="2"/>
        <v>57.100415923945341</v>
      </c>
    </row>
    <row r="21" spans="2:11" x14ac:dyDescent="0.25">
      <c r="B21" t="s">
        <v>1342</v>
      </c>
      <c r="D21">
        <v>15.8</v>
      </c>
      <c r="E21">
        <v>233</v>
      </c>
      <c r="G21">
        <v>366</v>
      </c>
      <c r="H21">
        <f t="shared" si="0"/>
        <v>3.66</v>
      </c>
      <c r="J21" s="27">
        <f t="shared" si="1"/>
        <v>4.3169398907103824</v>
      </c>
      <c r="K21" s="27">
        <f t="shared" si="2"/>
        <v>63.661202185792348</v>
      </c>
    </row>
    <row r="23" spans="2:11" x14ac:dyDescent="0.25">
      <c r="I23" s="16" t="s">
        <v>1343</v>
      </c>
      <c r="J23" s="241">
        <f>MIN(J8:J21)</f>
        <v>3.5990888382687927</v>
      </c>
      <c r="K23" s="241">
        <f>MIN(K8:K21)</f>
        <v>55.71753986332574</v>
      </c>
    </row>
    <row r="24" spans="2:11" x14ac:dyDescent="0.25">
      <c r="I24" s="16" t="s">
        <v>1344</v>
      </c>
      <c r="J24" s="241">
        <f>MAX(J8:J21)</f>
        <v>5.4545454545454541</v>
      </c>
      <c r="K24" s="241">
        <f>MAX(K8:K21)</f>
        <v>80.303030303030297</v>
      </c>
    </row>
    <row r="27" spans="2:11" ht="21" x14ac:dyDescent="0.25">
      <c r="B27" t="s">
        <v>1345</v>
      </c>
      <c r="G27" s="402" t="s">
        <v>1322</v>
      </c>
      <c r="H27" s="402"/>
    </row>
    <row r="28" spans="2:11" x14ac:dyDescent="0.25">
      <c r="G28" s="399" t="s">
        <v>1346</v>
      </c>
      <c r="H28" s="399"/>
    </row>
    <row r="29" spans="2:11" x14ac:dyDescent="0.25">
      <c r="G29" s="251" t="s">
        <v>550</v>
      </c>
      <c r="H29" s="251" t="s">
        <v>552</v>
      </c>
    </row>
    <row r="30" spans="2:11" x14ac:dyDescent="0.25">
      <c r="D30" s="14" t="s">
        <v>1347</v>
      </c>
      <c r="G30" s="229"/>
      <c r="H30">
        <v>30.2</v>
      </c>
      <c r="J30" t="s">
        <v>1348</v>
      </c>
    </row>
    <row r="31" spans="2:11" x14ac:dyDescent="0.25">
      <c r="D31" s="14" t="s">
        <v>1349</v>
      </c>
      <c r="G31" s="229"/>
      <c r="H31" s="10">
        <v>8.3000000000000007</v>
      </c>
      <c r="I31" s="10" t="s">
        <v>1350</v>
      </c>
    </row>
    <row r="32" spans="2:11" x14ac:dyDescent="0.25">
      <c r="D32" s="14" t="s">
        <v>1351</v>
      </c>
      <c r="G32">
        <v>3.7</v>
      </c>
      <c r="H32" s="10">
        <v>60.6</v>
      </c>
      <c r="I32" s="10" t="s">
        <v>1350</v>
      </c>
      <c r="J32" t="s">
        <v>1352</v>
      </c>
    </row>
    <row r="33" spans="4:10" x14ac:dyDescent="0.25">
      <c r="D33" s="14" t="s">
        <v>1353</v>
      </c>
      <c r="G33">
        <v>1.6</v>
      </c>
      <c r="H33">
        <v>21</v>
      </c>
      <c r="J33" t="s">
        <v>1352</v>
      </c>
    </row>
    <row r="34" spans="4:10" x14ac:dyDescent="0.25">
      <c r="D34" s="14" t="s">
        <v>1354</v>
      </c>
      <c r="G34" s="229"/>
      <c r="H34">
        <v>31</v>
      </c>
      <c r="J34" t="s">
        <v>1348</v>
      </c>
    </row>
    <row r="35" spans="4:10" x14ac:dyDescent="0.25">
      <c r="D35" s="14" t="s">
        <v>1355</v>
      </c>
      <c r="G35" s="229"/>
      <c r="H35">
        <v>33</v>
      </c>
      <c r="J35" t="s">
        <v>1348</v>
      </c>
    </row>
    <row r="36" spans="4:10" x14ac:dyDescent="0.25">
      <c r="D36" s="14" t="s">
        <v>1356</v>
      </c>
      <c r="G36">
        <v>5.5</v>
      </c>
      <c r="H36">
        <v>81</v>
      </c>
      <c r="J36" t="s">
        <v>1348</v>
      </c>
    </row>
    <row r="37" spans="4:10" x14ac:dyDescent="0.25">
      <c r="D37" s="14" t="s">
        <v>1357</v>
      </c>
      <c r="G37">
        <v>7</v>
      </c>
      <c r="H37" s="229"/>
      <c r="J37" t="s">
        <v>1358</v>
      </c>
    </row>
  </sheetData>
  <mergeCells count="3">
    <mergeCell ref="G28:H28"/>
    <mergeCell ref="B5:K5"/>
    <mergeCell ref="G27:H27"/>
  </mergeCells>
  <hyperlinks>
    <hyperlink ref="C2" r:id="rId1" xr:uid="{9EFC2EE7-CA2D-413F-B8CD-056D4959BED9}"/>
  </hyperlinks>
  <pageMargins left="0.7" right="0.7" top="0.75" bottom="0.75" header="0.3" footer="0.3"/>
  <pageSetup paperSize="9" orientation="portrait" r:id="rId2"/>
  <drawing r:id="rId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21A57F-7305-4B6F-A356-CABDD7F8B695}">
  <sheetPr>
    <tabColor rgb="FF44546A"/>
  </sheetPr>
  <dimension ref="A2:N27"/>
  <sheetViews>
    <sheetView workbookViewId="0">
      <selection activeCell="L12" sqref="L12"/>
    </sheetView>
  </sheetViews>
  <sheetFormatPr defaultRowHeight="15.75" x14ac:dyDescent="0.25"/>
  <cols>
    <col min="1" max="1" width="1.25" style="216" customWidth="1"/>
    <col min="10" max="10" width="10.625" customWidth="1"/>
    <col min="14" max="14" width="1.25" style="216" customWidth="1"/>
  </cols>
  <sheetData>
    <row r="2" spans="2:5" x14ac:dyDescent="0.25">
      <c r="B2" s="237" t="s">
        <v>507</v>
      </c>
      <c r="C2" s="167" t="s">
        <v>374</v>
      </c>
    </row>
    <row r="3" spans="2:5" x14ac:dyDescent="0.25">
      <c r="C3" t="s">
        <v>1359</v>
      </c>
    </row>
    <row r="4" spans="2:5" ht="21" x14ac:dyDescent="0.25">
      <c r="B4" s="402" t="s">
        <v>555</v>
      </c>
      <c r="C4" s="402"/>
      <c r="D4" s="402"/>
      <c r="E4" t="s">
        <v>1360</v>
      </c>
    </row>
    <row r="5" spans="2:5" x14ac:dyDescent="0.25">
      <c r="C5" s="239"/>
      <c r="D5" s="239" t="s">
        <v>1000</v>
      </c>
      <c r="E5" s="239" t="s">
        <v>552</v>
      </c>
    </row>
    <row r="6" spans="2:5" x14ac:dyDescent="0.25">
      <c r="C6" s="14" t="s">
        <v>1361</v>
      </c>
      <c r="D6">
        <f>1.32/1</f>
        <v>1.32</v>
      </c>
      <c r="E6" s="29">
        <f>D6*Parameters!$C$3*Parameters!$C$12</f>
        <v>11.88</v>
      </c>
    </row>
    <row r="7" spans="2:5" x14ac:dyDescent="0.25">
      <c r="C7" s="14" t="s">
        <v>1362</v>
      </c>
      <c r="D7" s="29">
        <f>1.21/0.875</f>
        <v>1.3828571428571428</v>
      </c>
      <c r="E7" s="29">
        <f>D7*Parameters!$C$3*Parameters!$C$12</f>
        <v>12.445714285714285</v>
      </c>
    </row>
    <row r="8" spans="2:5" x14ac:dyDescent="0.25">
      <c r="C8" s="14" t="s">
        <v>1363</v>
      </c>
      <c r="D8" s="29">
        <f>1.48/0.875</f>
        <v>1.6914285714285715</v>
      </c>
      <c r="E8" s="29">
        <f>D8*Parameters!$C$3*Parameters!$C$12</f>
        <v>15.222857142857144</v>
      </c>
    </row>
    <row r="25" spans="10:12" x14ac:dyDescent="0.25">
      <c r="J25" s="218" t="s">
        <v>1364</v>
      </c>
      <c r="K25" s="218">
        <f>3.14*(300/2)*(300/2)/100</f>
        <v>706.5</v>
      </c>
      <c r="L25" s="218" t="s">
        <v>540</v>
      </c>
    </row>
    <row r="26" spans="10:12" x14ac:dyDescent="0.25">
      <c r="J26" s="218" t="s">
        <v>1361</v>
      </c>
      <c r="K26" s="227">
        <f>K25/654</f>
        <v>1.0802752293577982</v>
      </c>
      <c r="L26" s="218" t="s">
        <v>1265</v>
      </c>
    </row>
    <row r="27" spans="10:12" x14ac:dyDescent="0.25">
      <c r="J27" s="218" t="s">
        <v>679</v>
      </c>
      <c r="K27" s="227">
        <f>K25/748</f>
        <v>0.94451871657754005</v>
      </c>
      <c r="L27" s="218" t="s">
        <v>1265</v>
      </c>
    </row>
  </sheetData>
  <mergeCells count="1">
    <mergeCell ref="B4:D4"/>
  </mergeCells>
  <hyperlinks>
    <hyperlink ref="C2" r:id="rId1" xr:uid="{3D621F25-349E-4839-9283-406C8195394C}"/>
  </hyperlinks>
  <pageMargins left="0.7" right="0.7" top="0.75" bottom="0.75" header="0.3" footer="0.3"/>
  <pageSetup paperSize="9" orientation="portrait" r:id="rId2"/>
  <drawing r:id="rId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2CB1DA-268D-4EC5-97C6-8C9D1B5FB0F9}">
  <sheetPr>
    <tabColor rgb="FF44546A"/>
  </sheetPr>
  <dimension ref="A2:AO21"/>
  <sheetViews>
    <sheetView workbookViewId="0">
      <selection activeCell="D109" sqref="D109"/>
    </sheetView>
  </sheetViews>
  <sheetFormatPr defaultRowHeight="15.75" x14ac:dyDescent="0.25"/>
  <cols>
    <col min="1" max="1" width="1.25" style="216" customWidth="1"/>
    <col min="3" max="3" width="23.5" customWidth="1"/>
    <col min="6" max="6" width="13.75" customWidth="1"/>
    <col min="7" max="9" width="23.25" customWidth="1"/>
    <col min="12" max="12" width="12" customWidth="1"/>
    <col min="13" max="13" width="45.75" customWidth="1"/>
    <col min="14" max="14" width="1.25" style="216" customWidth="1"/>
    <col min="17" max="19" width="15" customWidth="1"/>
    <col min="21" max="21" width="1.25" style="216" customWidth="1"/>
    <col min="29" max="29" width="1.25" style="216" customWidth="1"/>
    <col min="39" max="39" width="11.75" customWidth="1"/>
    <col min="41" max="41" width="1.25" style="216" customWidth="1"/>
  </cols>
  <sheetData>
    <row r="2" spans="2:39" x14ac:dyDescent="0.25">
      <c r="B2" s="237" t="s">
        <v>507</v>
      </c>
      <c r="C2" s="167" t="s">
        <v>220</v>
      </c>
      <c r="O2" s="237" t="s">
        <v>507</v>
      </c>
      <c r="P2" s="167" t="s">
        <v>909</v>
      </c>
      <c r="V2" s="237" t="s">
        <v>507</v>
      </c>
      <c r="W2" s="167" t="s">
        <v>928</v>
      </c>
      <c r="AD2" s="237" t="s">
        <v>507</v>
      </c>
      <c r="AE2" s="167" t="s">
        <v>940</v>
      </c>
    </row>
    <row r="4" spans="2:39" ht="21" x14ac:dyDescent="0.25">
      <c r="B4" s="402" t="s">
        <v>1053</v>
      </c>
      <c r="C4" s="402"/>
      <c r="D4" s="402"/>
      <c r="G4" s="402" t="s">
        <v>1053</v>
      </c>
      <c r="H4" s="402"/>
      <c r="J4" s="402" t="s">
        <v>1054</v>
      </c>
      <c r="K4" s="402"/>
      <c r="L4" s="402"/>
      <c r="O4" s="402" t="s">
        <v>1053</v>
      </c>
      <c r="P4" s="402"/>
      <c r="Q4" s="402"/>
      <c r="AE4" s="402" t="s">
        <v>1053</v>
      </c>
      <c r="AF4" s="402"/>
      <c r="AG4" s="402"/>
      <c r="AK4" s="402" t="s">
        <v>1054</v>
      </c>
      <c r="AL4" s="402"/>
      <c r="AM4" s="402"/>
    </row>
    <row r="5" spans="2:39" ht="47.25" x14ac:dyDescent="0.25">
      <c r="C5" s="239"/>
      <c r="D5" s="256" t="s">
        <v>1000</v>
      </c>
      <c r="E5" s="256" t="s">
        <v>552</v>
      </c>
      <c r="G5" s="361" t="s">
        <v>1055</v>
      </c>
      <c r="H5" s="361" t="s">
        <v>1056</v>
      </c>
      <c r="K5" s="239"/>
      <c r="L5" s="239" t="s">
        <v>551</v>
      </c>
      <c r="Q5" s="256" t="s">
        <v>1365</v>
      </c>
      <c r="R5" s="256" t="s">
        <v>1366</v>
      </c>
      <c r="S5" s="256" t="s">
        <v>1164</v>
      </c>
      <c r="AF5" s="256" t="s">
        <v>1000</v>
      </c>
      <c r="AG5" s="239" t="s">
        <v>552</v>
      </c>
      <c r="AH5" s="239" t="s">
        <v>1367</v>
      </c>
      <c r="AL5" s="239"/>
      <c r="AM5" s="239" t="s">
        <v>551</v>
      </c>
    </row>
    <row r="6" spans="2:39" ht="15.75" customHeight="1" x14ac:dyDescent="0.25">
      <c r="B6">
        <v>2002</v>
      </c>
      <c r="C6" s="14" t="s">
        <v>1368</v>
      </c>
      <c r="E6" s="29">
        <f>(5.8+2.3+27+5.8+0.17)/1.6</f>
        <v>25.668749999999999</v>
      </c>
      <c r="F6" t="s">
        <v>1369</v>
      </c>
      <c r="J6">
        <v>2002</v>
      </c>
      <c r="K6" s="14" t="s">
        <v>1368</v>
      </c>
      <c r="L6">
        <f>32/1.6</f>
        <v>20</v>
      </c>
      <c r="M6" s="26"/>
      <c r="O6" t="s">
        <v>1370</v>
      </c>
      <c r="P6" s="14" t="s">
        <v>1167</v>
      </c>
      <c r="Q6">
        <v>2.7</v>
      </c>
      <c r="R6">
        <v>1.5</v>
      </c>
      <c r="S6" s="29">
        <f>Q6*Parameters!C6+R6*Parameters!$C$7*Parameters!$C$12</f>
        <v>16.2</v>
      </c>
      <c r="V6" s="403" t="s">
        <v>1371</v>
      </c>
      <c r="W6" s="403"/>
      <c r="X6" s="403"/>
      <c r="Y6" s="403"/>
      <c r="Z6" s="403"/>
      <c r="AA6" s="403"/>
      <c r="AD6">
        <v>2002</v>
      </c>
      <c r="AE6" s="14" t="s">
        <v>1368</v>
      </c>
      <c r="AF6">
        <f>2.9/1.6</f>
        <v>1.8124999999999998</v>
      </c>
      <c r="AG6">
        <f>1.6/1.6</f>
        <v>1</v>
      </c>
      <c r="AH6">
        <f>AF6*Parameters!$C$7*Parameters!$C$12+AG6*Parameters!C6</f>
        <v>17.312499999999996</v>
      </c>
      <c r="AK6">
        <v>2002</v>
      </c>
      <c r="AL6" s="14" t="s">
        <v>1368</v>
      </c>
      <c r="AM6">
        <f>32/1.6</f>
        <v>20</v>
      </c>
    </row>
    <row r="7" spans="2:39" x14ac:dyDescent="0.25">
      <c r="B7" t="s">
        <v>1372</v>
      </c>
      <c r="C7" s="14" t="s">
        <v>1373</v>
      </c>
      <c r="D7">
        <v>1.52</v>
      </c>
      <c r="E7" s="29">
        <f>D7*Parameters!$C$7*Parameters!$C$12/'Deng data'!$I$11</f>
        <v>16.481927710843372</v>
      </c>
      <c r="G7" s="29">
        <f>D7*Parameters!$C$8</f>
        <v>0.72199999999999998</v>
      </c>
      <c r="H7" s="29">
        <f>G7/'Scopes ratios details'!$F$61</f>
        <v>1.077811623468826</v>
      </c>
      <c r="J7">
        <v>1998</v>
      </c>
      <c r="K7" s="14" t="s">
        <v>1374</v>
      </c>
      <c r="L7">
        <v>18</v>
      </c>
      <c r="M7" s="26"/>
      <c r="O7">
        <v>1998</v>
      </c>
      <c r="P7" s="14" t="s">
        <v>1170</v>
      </c>
      <c r="Q7">
        <v>2.7</v>
      </c>
      <c r="R7">
        <v>2.1</v>
      </c>
      <c r="S7" s="29">
        <f>Q7*Parameters!C7+R7*Parameters!$C$7*Parameters!$C$12</f>
        <v>25.650000000000002</v>
      </c>
      <c r="V7" s="403"/>
      <c r="W7" s="403"/>
      <c r="X7" s="403"/>
      <c r="Y7" s="403"/>
      <c r="Z7" s="403"/>
      <c r="AA7" s="403"/>
    </row>
    <row r="8" spans="2:39" x14ac:dyDescent="0.25">
      <c r="B8">
        <v>1997</v>
      </c>
      <c r="C8" s="14" t="s">
        <v>1375</v>
      </c>
      <c r="D8">
        <v>1.44</v>
      </c>
      <c r="E8" s="29">
        <f>D8*Parameters!$C$7*Parameters!$C$12/'Deng data'!$I$11</f>
        <v>15.6144578313253</v>
      </c>
      <c r="G8" s="29">
        <f>D8*Parameters!$C$8</f>
        <v>0.68399999999999994</v>
      </c>
      <c r="H8" s="29">
        <f>G8/'Scopes ratios details'!$F$61</f>
        <v>1.021084695917835</v>
      </c>
      <c r="J8">
        <v>1998</v>
      </c>
      <c r="K8" s="14" t="s">
        <v>1376</v>
      </c>
      <c r="L8">
        <v>27</v>
      </c>
      <c r="O8">
        <v>1999</v>
      </c>
      <c r="P8" s="14" t="s">
        <v>1173</v>
      </c>
      <c r="Q8">
        <v>2.7</v>
      </c>
      <c r="R8">
        <v>1.2</v>
      </c>
      <c r="S8" s="29">
        <f>Q8*Parameters!C8+R8*Parameters!$C$7*Parameters!$C$12</f>
        <v>12.082500000000001</v>
      </c>
      <c r="V8" s="403"/>
      <c r="W8" s="403"/>
      <c r="X8" s="403"/>
      <c r="Y8" s="403"/>
      <c r="Z8" s="403"/>
      <c r="AA8" s="403"/>
    </row>
    <row r="9" spans="2:39" x14ac:dyDescent="0.25">
      <c r="B9">
        <v>1993</v>
      </c>
      <c r="C9" s="14" t="s">
        <v>1062</v>
      </c>
      <c r="D9">
        <v>1.6</v>
      </c>
      <c r="E9" s="29">
        <f>D9*Parameters!$C$7*Parameters!$C$12/'Deng data'!$I$11</f>
        <v>17.349397590361448</v>
      </c>
      <c r="G9" s="29">
        <f>D9*Parameters!$C$8</f>
        <v>0.76</v>
      </c>
      <c r="H9" s="29">
        <f>G9/'Scopes ratios details'!$F$61</f>
        <v>1.1345385510198169</v>
      </c>
      <c r="J9">
        <v>1996</v>
      </c>
      <c r="K9" s="14" t="s">
        <v>1377</v>
      </c>
      <c r="L9">
        <v>5</v>
      </c>
      <c r="O9" t="s">
        <v>1378</v>
      </c>
      <c r="P9" s="14" t="s">
        <v>255</v>
      </c>
      <c r="R9">
        <v>1.4</v>
      </c>
      <c r="S9" s="29">
        <f>Q9*Parameters!C9+R9*Parameters!$C$7*Parameters!$C$12</f>
        <v>12.6</v>
      </c>
      <c r="V9" s="403"/>
      <c r="W9" s="403"/>
      <c r="X9" s="403"/>
      <c r="Y9" s="403"/>
      <c r="Z9" s="403"/>
      <c r="AA9" s="403"/>
    </row>
    <row r="10" spans="2:39" x14ac:dyDescent="0.25">
      <c r="J10">
        <v>1996</v>
      </c>
      <c r="K10" s="14" t="s">
        <v>1379</v>
      </c>
      <c r="L10">
        <v>29</v>
      </c>
      <c r="V10" s="403"/>
      <c r="W10" s="403"/>
      <c r="X10" s="403"/>
      <c r="Y10" s="403"/>
      <c r="Z10" s="403"/>
      <c r="AA10" s="403"/>
    </row>
    <row r="11" spans="2:39" ht="18.75" customHeight="1" x14ac:dyDescent="0.25">
      <c r="J11">
        <v>1996</v>
      </c>
      <c r="K11" s="14" t="s">
        <v>1380</v>
      </c>
      <c r="L11">
        <v>17</v>
      </c>
      <c r="O11" s="403" t="s">
        <v>1381</v>
      </c>
      <c r="P11" s="403"/>
      <c r="Q11" s="403"/>
      <c r="R11" s="403"/>
      <c r="S11" s="403"/>
      <c r="T11" s="403"/>
      <c r="V11" s="403"/>
      <c r="W11" s="403"/>
      <c r="X11" s="403"/>
      <c r="Y11" s="403"/>
      <c r="Z11" s="403"/>
      <c r="AA11" s="403"/>
    </row>
    <row r="12" spans="2:39" x14ac:dyDescent="0.25">
      <c r="J12">
        <v>1993</v>
      </c>
      <c r="K12" s="14" t="s">
        <v>1062</v>
      </c>
      <c r="L12">
        <v>58</v>
      </c>
      <c r="M12" s="230" t="s">
        <v>1063</v>
      </c>
      <c r="O12" s="403"/>
      <c r="P12" s="403"/>
      <c r="Q12" s="403"/>
      <c r="R12" s="403"/>
      <c r="S12" s="403"/>
      <c r="T12" s="403"/>
      <c r="V12" s="403"/>
      <c r="W12" s="403"/>
      <c r="X12" s="403"/>
      <c r="Y12" s="403"/>
      <c r="Z12" s="403"/>
      <c r="AA12" s="403"/>
    </row>
    <row r="13" spans="2:39" x14ac:dyDescent="0.25">
      <c r="O13" s="403"/>
      <c r="P13" s="403"/>
      <c r="Q13" s="403"/>
      <c r="R13" s="403"/>
      <c r="S13" s="403"/>
      <c r="T13" s="403"/>
    </row>
    <row r="14" spans="2:39" x14ac:dyDescent="0.25">
      <c r="O14" s="224"/>
      <c r="P14" s="224"/>
      <c r="Q14" s="224"/>
      <c r="R14" s="224"/>
      <c r="S14" s="224"/>
    </row>
    <row r="21" spans="31:37" ht="82.5" customHeight="1" x14ac:dyDescent="0.25">
      <c r="AE21" s="403" t="s">
        <v>1382</v>
      </c>
      <c r="AF21" s="403"/>
      <c r="AG21" s="403"/>
      <c r="AH21" s="403"/>
      <c r="AI21" s="403"/>
      <c r="AJ21" s="403"/>
      <c r="AK21" s="403"/>
    </row>
  </sheetData>
  <mergeCells count="9">
    <mergeCell ref="AE21:AK21"/>
    <mergeCell ref="J4:L4"/>
    <mergeCell ref="AK4:AM4"/>
    <mergeCell ref="B4:D4"/>
    <mergeCell ref="O4:Q4"/>
    <mergeCell ref="O11:T13"/>
    <mergeCell ref="V6:AA12"/>
    <mergeCell ref="AE4:AG4"/>
    <mergeCell ref="G4:H4"/>
  </mergeCells>
  <hyperlinks>
    <hyperlink ref="C2" r:id="rId1" xr:uid="{5B58B617-F2C6-446C-A0B6-BACEE1E0B7E6}"/>
    <hyperlink ref="P2" r:id="rId2" xr:uid="{6B5633B6-AD23-4E44-BF7C-2DE97714966A}"/>
    <hyperlink ref="W2" r:id="rId3" xr:uid="{FA09DBED-35A7-4C5A-96E9-B7262EE3F736}"/>
    <hyperlink ref="AE2" r:id="rId4" xr:uid="{9E7712C0-EA8F-4B86-8E3A-B92E1B170FEE}"/>
  </hyperlinks>
  <pageMargins left="0.7" right="0.7" top="0.75" bottom="0.75" header="0.3" footer="0.3"/>
  <pageSetup paperSize="9" orientation="portrait" r:id="rId5"/>
  <drawing r:id="rId6"/>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951299-8F32-4836-8FC2-FAC460D98AE4}">
  <sheetPr>
    <tabColor rgb="FF44546A"/>
  </sheetPr>
  <dimension ref="A2:N24"/>
  <sheetViews>
    <sheetView workbookViewId="0">
      <selection activeCell="J13" sqref="J13"/>
    </sheetView>
  </sheetViews>
  <sheetFormatPr defaultRowHeight="15.75" x14ac:dyDescent="0.25"/>
  <cols>
    <col min="1" max="1" width="1.25" style="216" customWidth="1"/>
    <col min="7" max="8" width="19.5" customWidth="1"/>
    <col min="14" max="14" width="1.25" style="216" customWidth="1"/>
  </cols>
  <sheetData>
    <row r="2" spans="2:8" x14ac:dyDescent="0.25">
      <c r="B2" s="237" t="s">
        <v>507</v>
      </c>
      <c r="C2" s="167" t="s">
        <v>252</v>
      </c>
    </row>
    <row r="3" spans="2:8" x14ac:dyDescent="0.25">
      <c r="C3" t="s">
        <v>1383</v>
      </c>
    </row>
    <row r="4" spans="2:8" ht="21" x14ac:dyDescent="0.25">
      <c r="B4" s="402" t="s">
        <v>555</v>
      </c>
      <c r="C4" s="402"/>
      <c r="D4" s="402"/>
    </row>
    <row r="5" spans="2:8" ht="47.25" x14ac:dyDescent="0.25">
      <c r="D5" s="239" t="s">
        <v>1000</v>
      </c>
      <c r="E5" s="239" t="s">
        <v>552</v>
      </c>
      <c r="G5" s="361" t="s">
        <v>1055</v>
      </c>
      <c r="H5" s="361" t="s">
        <v>1056</v>
      </c>
    </row>
    <row r="6" spans="2:8" x14ac:dyDescent="0.25">
      <c r="B6">
        <v>2008</v>
      </c>
      <c r="C6" s="14" t="s">
        <v>1384</v>
      </c>
      <c r="D6">
        <v>1.04</v>
      </c>
      <c r="E6" s="29">
        <f>D6*Parameters!$C$7*Parameters!$C$12/'Deng data'!$I$11</f>
        <v>11.277108433734941</v>
      </c>
      <c r="G6" s="29">
        <f>D6*Parameters!$C$8</f>
        <v>0.49399999999999999</v>
      </c>
      <c r="H6" s="29">
        <f>G6/'Scopes ratios details'!$F$61</f>
        <v>0.73745005816288089</v>
      </c>
    </row>
    <row r="7" spans="2:8" x14ac:dyDescent="0.25">
      <c r="B7">
        <v>2007</v>
      </c>
      <c r="C7" s="14" t="s">
        <v>1384</v>
      </c>
      <c r="D7">
        <v>1.04</v>
      </c>
      <c r="E7" s="29">
        <f>D7*Parameters!$C$7*Parameters!$C$12/'Deng data'!$I$11</f>
        <v>11.277108433734941</v>
      </c>
      <c r="G7" s="29">
        <f>D7*Parameters!$C$8</f>
        <v>0.49399999999999999</v>
      </c>
      <c r="H7" s="29">
        <f>G7/'Scopes ratios details'!$F$61</f>
        <v>0.73745005816288089</v>
      </c>
    </row>
    <row r="8" spans="2:8" x14ac:dyDescent="0.25">
      <c r="B8">
        <v>2006</v>
      </c>
      <c r="C8" s="14" t="s">
        <v>1384</v>
      </c>
      <c r="D8">
        <v>1.25</v>
      </c>
      <c r="E8" s="29">
        <f>D8*Parameters!$C$7*Parameters!$C$12/'Deng data'!$I$11</f>
        <v>13.554216867469879</v>
      </c>
      <c r="G8" s="29">
        <f>D8*Parameters!$C$8</f>
        <v>0.59375</v>
      </c>
      <c r="H8" s="29">
        <f>G8/'Scopes ratios details'!$F$61</f>
        <v>0.88635824298423194</v>
      </c>
    </row>
    <row r="9" spans="2:8" x14ac:dyDescent="0.25">
      <c r="B9">
        <v>2005</v>
      </c>
      <c r="C9" s="14" t="s">
        <v>1384</v>
      </c>
      <c r="D9">
        <v>1.36</v>
      </c>
      <c r="E9" s="29">
        <f>D9*Parameters!$C$7*Parameters!$C$12/'Deng data'!$I$11</f>
        <v>14.746987951807233</v>
      </c>
      <c r="G9" s="29">
        <f>D9*Parameters!$C$8</f>
        <v>0.64600000000000002</v>
      </c>
      <c r="H9" s="29">
        <f>G9/'Scopes ratios details'!$F$61</f>
        <v>0.96435776836684439</v>
      </c>
    </row>
    <row r="10" spans="2:8" x14ac:dyDescent="0.25">
      <c r="B10">
        <v>2004</v>
      </c>
      <c r="C10" s="14" t="s">
        <v>1384</v>
      </c>
      <c r="D10">
        <v>1.4</v>
      </c>
      <c r="E10" s="29">
        <f>D10*Parameters!$C$7*Parameters!$C$12/'Deng data'!$I$11</f>
        <v>15.180722891566266</v>
      </c>
      <c r="G10" s="29">
        <f>D10*Parameters!$C$8</f>
        <v>0.66499999999999992</v>
      </c>
      <c r="H10" s="29">
        <f>G10/'Scopes ratios details'!$F$61</f>
        <v>0.99272123214233965</v>
      </c>
    </row>
    <row r="11" spans="2:8" x14ac:dyDescent="0.25">
      <c r="B11">
        <v>2003</v>
      </c>
      <c r="C11" s="14" t="s">
        <v>1384</v>
      </c>
      <c r="D11">
        <v>1.52</v>
      </c>
      <c r="E11" s="29">
        <f>D11*Parameters!$C$7*Parameters!$C$12/'Deng data'!$I$11</f>
        <v>16.481927710843372</v>
      </c>
      <c r="G11" s="29">
        <f>D11*Parameters!$C$8</f>
        <v>0.72199999999999998</v>
      </c>
      <c r="H11" s="29">
        <f>G11/'Scopes ratios details'!$F$61</f>
        <v>1.077811623468826</v>
      </c>
    </row>
    <row r="12" spans="2:8" x14ac:dyDescent="0.25">
      <c r="B12">
        <v>2002</v>
      </c>
      <c r="C12" s="14" t="s">
        <v>1384</v>
      </c>
      <c r="D12">
        <v>1.6</v>
      </c>
      <c r="E12" s="29">
        <f>D12*Parameters!$C$7*Parameters!$C$12/'Deng data'!$I$11</f>
        <v>17.349397590361448</v>
      </c>
      <c r="G12" s="29">
        <f>D12*Parameters!$C$8</f>
        <v>0.76</v>
      </c>
      <c r="H12" s="29">
        <f>G12/'Scopes ratios details'!$F$61</f>
        <v>1.1345385510198169</v>
      </c>
    </row>
    <row r="13" spans="2:8" x14ac:dyDescent="0.25">
      <c r="B13">
        <v>2001</v>
      </c>
      <c r="C13" s="14" t="s">
        <v>1384</v>
      </c>
      <c r="D13">
        <v>1.65</v>
      </c>
      <c r="E13" s="29">
        <f>D13*Parameters!$C$7*Parameters!$C$12/'Deng data'!$I$11</f>
        <v>17.891566265060241</v>
      </c>
      <c r="G13" s="29">
        <f>D13*Parameters!$C$8</f>
        <v>0.78374999999999995</v>
      </c>
      <c r="H13" s="29">
        <f>G13/'Scopes ratios details'!$F$61</f>
        <v>1.1699928807391859</v>
      </c>
    </row>
    <row r="17" spans="8:9" x14ac:dyDescent="0.25">
      <c r="H17" s="218" t="s">
        <v>1385</v>
      </c>
      <c r="I17" s="218"/>
    </row>
    <row r="18" spans="8:9" x14ac:dyDescent="0.25">
      <c r="H18" s="218" t="s">
        <v>1386</v>
      </c>
      <c r="I18" s="218"/>
    </row>
    <row r="19" spans="8:9" x14ac:dyDescent="0.25">
      <c r="H19" s="218" t="s">
        <v>1387</v>
      </c>
      <c r="I19" s="218"/>
    </row>
    <row r="20" spans="8:9" x14ac:dyDescent="0.25">
      <c r="H20" s="218" t="s">
        <v>1388</v>
      </c>
      <c r="I20" s="218"/>
    </row>
    <row r="21" spans="8:9" x14ac:dyDescent="0.25">
      <c r="H21" s="218" t="s">
        <v>1389</v>
      </c>
      <c r="I21" s="218"/>
    </row>
    <row r="22" spans="8:9" x14ac:dyDescent="0.25">
      <c r="H22" s="218" t="s">
        <v>1390</v>
      </c>
      <c r="I22" s="218"/>
    </row>
    <row r="23" spans="8:9" x14ac:dyDescent="0.25">
      <c r="H23" s="218" t="s">
        <v>1391</v>
      </c>
      <c r="I23" s="218"/>
    </row>
    <row r="24" spans="8:9" x14ac:dyDescent="0.25">
      <c r="H24" s="218" t="s">
        <v>1392</v>
      </c>
      <c r="I24" s="218"/>
    </row>
  </sheetData>
  <mergeCells count="1">
    <mergeCell ref="B4:D4"/>
  </mergeCells>
  <hyperlinks>
    <hyperlink ref="C2" r:id="rId1" xr:uid="{D62C41B3-4B42-45DB-B81E-2C60E2F5090B}"/>
  </hyperlinks>
  <pageMargins left="0.7" right="0.7" top="0.75" bottom="0.75" header="0.3" footer="0.3"/>
  <pageSetup paperSize="9" orientation="portrait" r:id="rId2"/>
  <drawing r:id="rId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5C8F18-212A-4D77-8BB5-CF16952CA297}">
  <sheetPr>
    <tabColor rgb="FFDBDBDB"/>
  </sheetPr>
  <dimension ref="B2:M28"/>
  <sheetViews>
    <sheetView workbookViewId="0">
      <selection activeCell="C11" sqref="C11"/>
    </sheetView>
  </sheetViews>
  <sheetFormatPr defaultRowHeight="15.75" x14ac:dyDescent="0.25"/>
  <cols>
    <col min="1" max="1" width="4.25" customWidth="1"/>
    <col min="2" max="2" width="45.5" customWidth="1"/>
    <col min="3" max="3" width="12.875" customWidth="1"/>
    <col min="4" max="12" width="11.625" bestFit="1" customWidth="1"/>
    <col min="13" max="13" width="10.875" customWidth="1"/>
    <col min="14" max="14" width="7.375" customWidth="1"/>
  </cols>
  <sheetData>
    <row r="2" spans="2:13" x14ac:dyDescent="0.25">
      <c r="B2" s="237" t="s">
        <v>507</v>
      </c>
      <c r="C2" t="s">
        <v>1393</v>
      </c>
    </row>
    <row r="3" spans="2:13" x14ac:dyDescent="0.25">
      <c r="B3" s="296" t="s">
        <v>1394</v>
      </c>
      <c r="C3" s="297">
        <v>2011</v>
      </c>
      <c r="D3" s="297">
        <v>2012</v>
      </c>
      <c r="E3" s="297">
        <v>2013</v>
      </c>
      <c r="F3" s="297">
        <v>2014</v>
      </c>
      <c r="G3" s="297">
        <v>2015</v>
      </c>
      <c r="H3" s="297">
        <v>2016</v>
      </c>
      <c r="I3" s="297">
        <v>2017</v>
      </c>
      <c r="J3" s="297">
        <v>2018</v>
      </c>
      <c r="K3" s="297">
        <v>2019</v>
      </c>
      <c r="L3" s="265">
        <v>2020</v>
      </c>
      <c r="M3" s="137" t="s">
        <v>1395</v>
      </c>
    </row>
    <row r="4" spans="2:13" x14ac:dyDescent="0.25">
      <c r="B4" s="114" t="s">
        <v>255</v>
      </c>
      <c r="C4" s="149">
        <f>SUMIFS('Industries data'!$AL:$AL,'Industries data'!$B:$B,'Industry shares details'!$B4,'Industries data'!$C:$C,'Industry shares details'!C$3)</f>
        <v>1417082596.484463</v>
      </c>
      <c r="D4" s="149">
        <f>SUMIFS('Industries data'!$AL:$AL,'Industries data'!$B:$B,'Industry shares details'!$B4,'Industries data'!$C:$C,'Industry shares details'!D$3)</f>
        <v>1469939453.0581398</v>
      </c>
      <c r="E4" s="149">
        <f>SUMIFS('Industries data'!$AL:$AL,'Industries data'!$B:$B,'Industry shares details'!$B4,'Industries data'!$C:$C,'Industry shares details'!E$3)</f>
        <v>1629807123.5539842</v>
      </c>
      <c r="F4" s="149">
        <f>SUMIFS('Industries data'!$AL:$AL,'Industries data'!$B:$B,'Industry shares details'!$B4,'Industries data'!$C:$C,'Industry shares details'!F$3)</f>
        <v>1825345065.3572178</v>
      </c>
      <c r="G4" s="149">
        <f>SUMIFS('Industries data'!$AL:$AL,'Industries data'!$B:$B,'Industry shares details'!$B4,'Industries data'!$C:$C,'Industry shares details'!G$3)</f>
        <v>1926194650.5990183</v>
      </c>
      <c r="H4" s="149">
        <f>SUMIFS('Industries data'!$AL:$AL,'Industries data'!$B:$B,'Industry shares details'!$B4,'Industries data'!$C:$C,'Industry shares details'!H$3)</f>
        <v>2007263449.0249031</v>
      </c>
      <c r="I4" s="149">
        <f>SUMIFS('Industries data'!$AL:$AL,'Industries data'!$B:$B,'Industry shares details'!$B4,'Industries data'!$C:$C,'Industry shares details'!I$3)</f>
        <v>2236201735.7796011</v>
      </c>
      <c r="J4" s="149">
        <f>SUMIFS('Industries data'!$AL:$AL,'Industries data'!$B:$B,'Industry shares details'!$B4,'Industries data'!$C:$C,'Industry shares details'!J$3)</f>
        <v>2316297708.6243749</v>
      </c>
      <c r="K4" s="149">
        <f>SUMIFS('Industries data'!$AL:$AL,'Industries data'!$B:$B,'Industry shares details'!$B4,'Industries data'!$C:$C,'Industry shares details'!K$3)</f>
        <v>2343536824.895472</v>
      </c>
      <c r="L4" s="149">
        <f>SUMIFS('Industries data'!$AL:$AL,'Industries data'!$B:$B,'Industry shares details'!$B4,'Industries data'!$C:$C,'Industry shares details'!L$3)</f>
        <v>2886697774.3488994</v>
      </c>
      <c r="M4" s="138">
        <f>SUM(C4:L4)/SUM($C$9:$L$9)</f>
        <v>0.16333562324390294</v>
      </c>
    </row>
    <row r="5" spans="2:13" x14ac:dyDescent="0.25">
      <c r="B5" s="114" t="s">
        <v>271</v>
      </c>
      <c r="C5" s="149">
        <f>SUMIFS('Industries data'!$AL:$AL,'Industries data'!$B:$B,'Industry shares details'!$B5,'Industries data'!$C:$C,'Industry shares details'!C$3)</f>
        <v>4075360924.3885903</v>
      </c>
      <c r="D5" s="149">
        <f>SUMIFS('Industries data'!$AL:$AL,'Industries data'!$B:$B,'Industry shares details'!$B5,'Industries data'!$C:$C,'Industry shares details'!D$3)</f>
        <v>4673648656.7716188</v>
      </c>
      <c r="E5" s="149">
        <f>SUMIFS('Industries data'!$AL:$AL,'Industries data'!$B:$B,'Industry shares details'!$B5,'Industries data'!$C:$C,'Industry shares details'!E$3)</f>
        <v>5079608771.7690773</v>
      </c>
      <c r="F5" s="149">
        <f>SUMIFS('Industries data'!$AL:$AL,'Industries data'!$B:$B,'Industry shares details'!$B5,'Industries data'!$C:$C,'Industry shares details'!F$3)</f>
        <v>5253258137.997323</v>
      </c>
      <c r="G5" s="149">
        <f>SUMIFS('Industries data'!$AL:$AL,'Industries data'!$B:$B,'Industry shares details'!$B5,'Industries data'!$C:$C,'Industry shares details'!G$3)</f>
        <v>5909915405.2469883</v>
      </c>
      <c r="H5" s="149">
        <f>SUMIFS('Industries data'!$AL:$AL,'Industries data'!$B:$B,'Industry shares details'!$B5,'Industries data'!$C:$C,'Industry shares details'!H$3)</f>
        <v>6566572672.4966536</v>
      </c>
      <c r="I5" s="149">
        <f>SUMIFS('Industries data'!$AL:$AL,'Industries data'!$B:$B,'Industry shares details'!$B5,'Industries data'!$C:$C,'Industry shares details'!I$3)</f>
        <v>7223229939.7463188</v>
      </c>
      <c r="J5" s="149">
        <f>SUMIFS('Industries data'!$AL:$AL,'Industries data'!$B:$B,'Industry shares details'!$B5,'Industries data'!$C:$C,'Industry shares details'!J$3)</f>
        <v>7879887206.9959841</v>
      </c>
      <c r="K5" s="149">
        <f>SUMIFS('Industries data'!$AL:$AL,'Industries data'!$B:$B,'Industry shares details'!$B5,'Industries data'!$C:$C,'Industry shares details'!K$3)</f>
        <v>8076884387.1708841</v>
      </c>
      <c r="L5" s="149">
        <f>SUMIFS('Industries data'!$AL:$AL,'Industries data'!$B:$B,'Industry shares details'!$B5,'Industries data'!$C:$C,'Industry shares details'!L$3)</f>
        <v>8536544474.2456484</v>
      </c>
      <c r="M5" s="138">
        <f>SUM(C5:L5)/SUM($C$9:$L$9)</f>
        <v>0.51524868765904208</v>
      </c>
    </row>
    <row r="6" spans="2:13" x14ac:dyDescent="0.25">
      <c r="B6" s="114" t="s">
        <v>290</v>
      </c>
      <c r="C6" s="149">
        <f>SUMIFS('Industries data'!$AL:$AL,'Industries data'!$B:$B,'Industry shares details'!$B6,'Industries data'!$C:$C,'Industry shares details'!C$3)</f>
        <v>1539131458.4724422</v>
      </c>
      <c r="D6" s="149">
        <f>SUMIFS('Industries data'!$AL:$AL,'Industries data'!$B:$B,'Industry shares details'!$B6,'Industries data'!$C:$C,'Industry shares details'!D$3)</f>
        <v>1468429991.6432889</v>
      </c>
      <c r="E6" s="149">
        <f>SUMIFS('Industries data'!$AL:$AL,'Industries data'!$B:$B,'Industry shares details'!$B6,'Industries data'!$C:$C,'Industry shares details'!E$3)</f>
        <v>1653198267.6949656</v>
      </c>
      <c r="F6" s="149">
        <f>SUMIFS('Industries data'!$AL:$AL,'Industries data'!$B:$B,'Industry shares details'!$B6,'Industries data'!$C:$C,'Industry shares details'!F$3)</f>
        <v>1640129316.5666142</v>
      </c>
      <c r="G6" s="149">
        <f>SUMIFS('Industries data'!$AL:$AL,'Industries data'!$B:$B,'Industry shares details'!$B6,'Industries data'!$C:$C,'Industry shares details'!G$3)</f>
        <v>1646198053.8269286</v>
      </c>
      <c r="H6" s="149">
        <f>SUMIFS('Industries data'!$AL:$AL,'Industries data'!$B:$B,'Industry shares details'!$B6,'Industries data'!$C:$C,'Industry shares details'!H$3)</f>
        <v>1607148965.2704518</v>
      </c>
      <c r="I6" s="149">
        <f>SUMIFS('Industries data'!$AL:$AL,'Industries data'!$B:$B,'Industry shares details'!$B6,'Industries data'!$C:$C,'Industry shares details'!I$3)</f>
        <v>1851481645.9697232</v>
      </c>
      <c r="J6" s="149">
        <f>SUMIFS('Industries data'!$AL:$AL,'Industries data'!$B:$B,'Industry shares details'!$B6,'Industries data'!$C:$C,'Industry shares details'!J$3)</f>
        <v>1987164619.6288793</v>
      </c>
      <c r="K6" s="149">
        <f>SUMIFS('Industries data'!$AL:$AL,'Industries data'!$B:$B,'Industry shares details'!$B6,'Industries data'!$C:$C,'Industry shares details'!K$3)</f>
        <v>1918760623.1966879</v>
      </c>
      <c r="L6" s="149">
        <f>SUMIFS('Industries data'!$AL:$AL,'Industries data'!$B:$B,'Industry shares details'!$B6,'Industries data'!$C:$C,'Industry shares details'!L$3)</f>
        <v>1766161108.7905295</v>
      </c>
      <c r="M6" s="138">
        <f>SUM(C6:L6)/SUM($C$9:$L$9)</f>
        <v>0.13906485280169575</v>
      </c>
    </row>
    <row r="7" spans="2:13" x14ac:dyDescent="0.25">
      <c r="B7" s="114" t="s">
        <v>302</v>
      </c>
      <c r="C7" s="149">
        <f>SUMIFS('Industries data'!$AL:$AL,'Industries data'!$B:$B,'Industry shares details'!$B7,'Industries data'!$C:$C,'Industry shares details'!C$3)</f>
        <v>535206122.69999999</v>
      </c>
      <c r="D7" s="149">
        <f>SUMIFS('Industries data'!$AL:$AL,'Industries data'!$B:$B,'Industry shares details'!$B7,'Industries data'!$C:$C,'Industry shares details'!D$3)</f>
        <v>696581255</v>
      </c>
      <c r="E7" s="149">
        <f>SUMIFS('Industries data'!$AL:$AL,'Industries data'!$B:$B,'Industry shares details'!$B7,'Industries data'!$C:$C,'Industry shares details'!E$3)</f>
        <v>808683334</v>
      </c>
      <c r="F7" s="149">
        <f>SUMIFS('Industries data'!$AL:$AL,'Industries data'!$B:$B,'Industry shares details'!$B7,'Industries data'!$C:$C,'Industry shares details'!F$3)</f>
        <v>804010529.10000002</v>
      </c>
      <c r="G7" s="149">
        <f>SUMIFS('Industries data'!$AL:$AL,'Industries data'!$B:$B,'Industry shares details'!$B7,'Industries data'!$C:$C,'Industry shares details'!G$3)</f>
        <v>947493662.89999998</v>
      </c>
      <c r="H7" s="149">
        <f>SUMIFS('Industries data'!$AL:$AL,'Industries data'!$B:$B,'Industry shares details'!$B7,'Industries data'!$C:$C,'Industry shares details'!H$3)</f>
        <v>1243343412</v>
      </c>
      <c r="I7" s="149">
        <f>SUMIFS('Industries data'!$AL:$AL,'Industries data'!$B:$B,'Industry shares details'!$B7,'Industries data'!$C:$C,'Industry shares details'!I$3)</f>
        <v>1354271164</v>
      </c>
      <c r="J7" s="149">
        <f>SUMIFS('Industries data'!$AL:$AL,'Industries data'!$B:$B,'Industry shares details'!$B7,'Industries data'!$C:$C,'Industry shares details'!J$3)</f>
        <v>1531420547</v>
      </c>
      <c r="K7" s="149">
        <f>SUMIFS('Industries data'!$AL:$AL,'Industries data'!$B:$B,'Industry shares details'!$B7,'Industries data'!$C:$C,'Industry shares details'!K$3)</f>
        <v>1579842857</v>
      </c>
      <c r="L7" s="149">
        <f>SUMIFS('Industries data'!$AL:$AL,'Industries data'!$B:$B,'Industry shares details'!$B7,'Industries data'!$C:$C,'Industry shares details'!L$3)</f>
        <v>1790275529</v>
      </c>
      <c r="M7" s="138">
        <f>SUM(C7:L7)/SUM($C$9:$L$9)</f>
        <v>9.1943853318756333E-2</v>
      </c>
    </row>
    <row r="8" spans="2:13" x14ac:dyDescent="0.25">
      <c r="B8" s="114" t="s">
        <v>316</v>
      </c>
      <c r="C8" s="149">
        <f>SUMIFS('Industries data'!$AL:$AL,'Industries data'!$B:$B,'Industry shares details'!$B8,'Industries data'!$C:$C,'Industry shares details'!C$3)</f>
        <v>878802730.05717254</v>
      </c>
      <c r="D8" s="149">
        <f>SUMIFS('Industries data'!$AL:$AL,'Industries data'!$B:$B,'Industry shares details'!$B8,'Industries data'!$C:$C,'Industry shares details'!D$3)</f>
        <v>930447744.37120581</v>
      </c>
      <c r="E8" s="149">
        <f>SUMIFS('Industries data'!$AL:$AL,'Industries data'!$B:$B,'Industry shares details'!$B8,'Industries data'!$C:$C,'Industry shares details'!E$3)</f>
        <v>982651083.16430986</v>
      </c>
      <c r="F8" s="149">
        <f>SUMIFS('Industries data'!$AL:$AL,'Industries data'!$B:$B,'Industry shares details'!$B8,'Industries data'!$C:$C,'Industry shares details'!F$3)</f>
        <v>855655921.9926511</v>
      </c>
      <c r="G8" s="149">
        <f>SUMIFS('Industries data'!$AL:$AL,'Industries data'!$B:$B,'Industry shares details'!$B8,'Industries data'!$C:$C,'Industry shares details'!G$3)</f>
        <v>1051436658.9858114</v>
      </c>
      <c r="H8" s="149">
        <f>SUMIFS('Industries data'!$AL:$AL,'Industries data'!$B:$B,'Industry shares details'!$B8,'Industries data'!$C:$C,'Industry shares details'!H$3)</f>
        <v>1135806466.8293722</v>
      </c>
      <c r="I8" s="149">
        <f>SUMIFS('Industries data'!$AL:$AL,'Industries data'!$B:$B,'Industry shares details'!$B8,'Industries data'!$C:$C,'Industry shares details'!I$3)</f>
        <v>1273136534.9418294</v>
      </c>
      <c r="J8" s="149">
        <f>SUMIFS('Industries data'!$AL:$AL,'Industries data'!$B:$B,'Industry shares details'!$B8,'Industries data'!$C:$C,'Industry shares details'!J$3)</f>
        <v>1316877101</v>
      </c>
      <c r="K8" s="149">
        <f>SUMIFS('Industries data'!$AL:$AL,'Industries data'!$B:$B,'Industry shares details'!$B8,'Industries data'!$C:$C,'Industry shares details'!K$3)</f>
        <v>1242656974</v>
      </c>
      <c r="L8" s="149">
        <f>SUMIFS('Industries data'!$AL:$AL,'Industries data'!$B:$B,'Industry shares details'!$B8,'Industries data'!$C:$C,'Industry shares details'!L$3)</f>
        <v>1434922445</v>
      </c>
      <c r="M8" s="138">
        <f>SUM(C8:L8)/SUM($C$9:$L$9)</f>
        <v>9.0406982976603018E-2</v>
      </c>
    </row>
    <row r="9" spans="2:13" x14ac:dyDescent="0.25">
      <c r="B9" s="150" t="s">
        <v>1396</v>
      </c>
      <c r="C9" s="120">
        <f>SUMIF('Industries data'!$C:$C,C3,'Industries data'!$AL:$AL)</f>
        <v>8445583832.1026678</v>
      </c>
      <c r="D9" s="120">
        <f>SUMIF('Industries data'!$C:$C,D3,'Industries data'!$AL:$AL)</f>
        <v>9239047100.8442535</v>
      </c>
      <c r="E9" s="120">
        <f>SUMIF('Industries data'!$C:$C,E3,'Industries data'!$AL:$AL)</f>
        <v>10153948580.182337</v>
      </c>
      <c r="F9" s="120">
        <f>SUMIF('Industries data'!$C:$C,F3,'Industries data'!$AL:$AL)</f>
        <v>10378398971.013805</v>
      </c>
      <c r="G9" s="120">
        <f>SUMIF('Industries data'!$C:$C,G3,'Industries data'!$AL:$AL)</f>
        <v>11481238431.558746</v>
      </c>
      <c r="H9" s="120">
        <f>SUMIF('Industries data'!$C:$C,H3,'Industries data'!$AL:$AL)</f>
        <v>12560134965.621382</v>
      </c>
      <c r="I9" s="120">
        <f>SUMIF('Industries data'!$C:$C,I3,'Industries data'!$AL:$AL)</f>
        <v>13938321020.437473</v>
      </c>
      <c r="J9" s="120">
        <f>SUMIF('Industries data'!$C:$C,J3,'Industries data'!$AL:$AL)</f>
        <v>15031647183.249239</v>
      </c>
      <c r="K9" s="120">
        <f>SUMIF('Industries data'!$C:$C,K3,'Industries data'!$AL:$AL)</f>
        <v>15161681666.263044</v>
      </c>
      <c r="L9" s="120">
        <f>SUMIF('Industries data'!$C:$C,L3,'Industries data'!$AL:$AL)</f>
        <v>16414601331.385077</v>
      </c>
      <c r="M9" s="138">
        <f>SUM(M4:M8)</f>
        <v>1.0000000000000002</v>
      </c>
    </row>
    <row r="11" spans="2:13" x14ac:dyDescent="0.25">
      <c r="B11" t="s">
        <v>1397</v>
      </c>
      <c r="C11">
        <f>1000000*'Worldwide production data'!H41</f>
        <v>58341818799.999992</v>
      </c>
      <c r="D11">
        <f>1000000*'Worldwide production data'!H42</f>
        <v>58264399600</v>
      </c>
      <c r="E11">
        <f>1000000*'Worldwide production data'!H43</f>
        <v>58496657200</v>
      </c>
      <c r="F11">
        <f>1000000*'Worldwide production data'!H44</f>
        <v>65141805200</v>
      </c>
      <c r="G11">
        <f>1000000*'Worldwide production data'!H45</f>
        <v>67315994399.999992</v>
      </c>
      <c r="H11">
        <f>1000000*'Worldwide production data'!H46</f>
        <v>69277280800</v>
      </c>
      <c r="I11">
        <f>1000000*'Worldwide production data'!H47</f>
        <v>76193396000</v>
      </c>
      <c r="J11">
        <f>1000000*'Worldwide production data'!H48</f>
        <v>82148222799.999985</v>
      </c>
      <c r="K11">
        <f>1000000*'Worldwide production data'!H49</f>
        <v>76193396000</v>
      </c>
      <c r="L11">
        <f>1000000*'Worldwide production data'!H50</f>
        <v>80045001200</v>
      </c>
    </row>
    <row r="12" spans="2:13" x14ac:dyDescent="0.25">
      <c r="B12" t="s">
        <v>1398</v>
      </c>
      <c r="C12" s="186">
        <f t="shared" ref="C12:L12" si="0">C9/C11</f>
        <v>0.14476037953247128</v>
      </c>
      <c r="D12" s="186">
        <f t="shared" si="0"/>
        <v>0.15857105134992677</v>
      </c>
      <c r="E12" s="186">
        <f t="shared" si="0"/>
        <v>0.17358168938553187</v>
      </c>
      <c r="F12" s="186">
        <f t="shared" si="0"/>
        <v>0.15932010080392744</v>
      </c>
      <c r="G12" s="186">
        <f t="shared" si="0"/>
        <v>0.17055736209340983</v>
      </c>
      <c r="H12" s="186">
        <f t="shared" si="0"/>
        <v>0.18130236667172106</v>
      </c>
      <c r="I12" s="186">
        <f t="shared" si="0"/>
        <v>0.18293345292599208</v>
      </c>
      <c r="J12" s="186">
        <f t="shared" si="0"/>
        <v>0.1829820131330856</v>
      </c>
      <c r="K12" s="186">
        <f t="shared" si="0"/>
        <v>0.19898944609665442</v>
      </c>
      <c r="L12" s="186">
        <f t="shared" si="0"/>
        <v>0.20506716328695709</v>
      </c>
    </row>
    <row r="14" spans="2:13" x14ac:dyDescent="0.25">
      <c r="B14" s="296" t="s">
        <v>1399</v>
      </c>
      <c r="C14" s="298">
        <f>C3</f>
        <v>2011</v>
      </c>
      <c r="D14" s="298">
        <f t="shared" ref="D14:L14" si="1">D3</f>
        <v>2012</v>
      </c>
      <c r="E14" s="298">
        <f t="shared" si="1"/>
        <v>2013</v>
      </c>
      <c r="F14" s="298">
        <f t="shared" si="1"/>
        <v>2014</v>
      </c>
      <c r="G14" s="298">
        <f t="shared" si="1"/>
        <v>2015</v>
      </c>
      <c r="H14" s="298">
        <f t="shared" si="1"/>
        <v>2016</v>
      </c>
      <c r="I14" s="298">
        <f t="shared" si="1"/>
        <v>2017</v>
      </c>
      <c r="J14" s="298">
        <f t="shared" si="1"/>
        <v>2018</v>
      </c>
      <c r="K14" s="298">
        <f t="shared" si="1"/>
        <v>2019</v>
      </c>
      <c r="L14" s="298">
        <f t="shared" si="1"/>
        <v>2020</v>
      </c>
      <c r="M14" s="230" t="s">
        <v>1400</v>
      </c>
    </row>
    <row r="15" spans="2:13" x14ac:dyDescent="0.25">
      <c r="B15" s="118" t="str">
        <f>B4</f>
        <v>UMC</v>
      </c>
      <c r="C15" s="27">
        <f t="shared" ref="C15:L15" si="2">C4/C$9*100</f>
        <v>16.778977328932118</v>
      </c>
      <c r="D15" s="27">
        <f t="shared" si="2"/>
        <v>15.910076407379917</v>
      </c>
      <c r="E15" s="27">
        <f t="shared" si="2"/>
        <v>16.050968849053572</v>
      </c>
      <c r="F15" s="27">
        <f t="shared" si="2"/>
        <v>17.587925367441436</v>
      </c>
      <c r="G15" s="27">
        <f t="shared" si="2"/>
        <v>16.776889201294196</v>
      </c>
      <c r="H15" s="27">
        <f t="shared" si="2"/>
        <v>15.981225158161335</v>
      </c>
      <c r="I15" s="27">
        <f t="shared" si="2"/>
        <v>16.043551676709875</v>
      </c>
      <c r="J15" s="27">
        <f t="shared" si="2"/>
        <v>15.409473628449573</v>
      </c>
      <c r="K15" s="27">
        <f t="shared" si="2"/>
        <v>15.456971571367204</v>
      </c>
      <c r="L15" s="115">
        <f t="shared" si="2"/>
        <v>17.58615829937624</v>
      </c>
      <c r="M15" s="135"/>
    </row>
    <row r="16" spans="2:13" x14ac:dyDescent="0.25">
      <c r="B16" s="118" t="str">
        <f>B5</f>
        <v>TSMC</v>
      </c>
      <c r="C16" s="294">
        <f t="shared" ref="C16:L16" si="3">C5/C$9*100</f>
        <v>48.254342214894116</v>
      </c>
      <c r="D16" s="294">
        <f t="shared" si="3"/>
        <v>50.58582996448353</v>
      </c>
      <c r="E16" s="294">
        <f t="shared" si="3"/>
        <v>50.025945391165862</v>
      </c>
      <c r="F16" s="294">
        <f t="shared" si="3"/>
        <v>50.617230583149983</v>
      </c>
      <c r="G16" s="294">
        <f t="shared" si="3"/>
        <v>51.474546413061738</v>
      </c>
      <c r="H16" s="294">
        <f t="shared" si="3"/>
        <v>52.281067762967211</v>
      </c>
      <c r="I16" s="294">
        <f t="shared" si="3"/>
        <v>51.822812296797046</v>
      </c>
      <c r="J16" s="294">
        <f t="shared" si="3"/>
        <v>52.421980844368576</v>
      </c>
      <c r="K16" s="294">
        <f t="shared" si="3"/>
        <v>53.271692184008401</v>
      </c>
      <c r="L16" s="295">
        <f t="shared" si="3"/>
        <v>52.00579838587727</v>
      </c>
      <c r="M16" s="135"/>
    </row>
    <row r="17" spans="2:13" x14ac:dyDescent="0.25">
      <c r="B17" s="118" t="str">
        <f>B6</f>
        <v>STmicro</v>
      </c>
      <c r="C17" s="27">
        <f t="shared" ref="C17:L17" si="4">C6/C$9*100</f>
        <v>18.224097813368694</v>
      </c>
      <c r="D17" s="27">
        <f t="shared" si="4"/>
        <v>15.893738559998308</v>
      </c>
      <c r="E17" s="27">
        <f t="shared" si="4"/>
        <v>16.28133385392108</v>
      </c>
      <c r="F17" s="27">
        <f t="shared" si="4"/>
        <v>15.803297995648355</v>
      </c>
      <c r="G17" s="27">
        <f t="shared" si="4"/>
        <v>14.338157539712665</v>
      </c>
      <c r="H17" s="27">
        <f t="shared" si="4"/>
        <v>12.795634518812211</v>
      </c>
      <c r="I17" s="27">
        <f t="shared" si="4"/>
        <v>13.283390755995173</v>
      </c>
      <c r="J17" s="27">
        <f t="shared" si="4"/>
        <v>13.219872681972664</v>
      </c>
      <c r="K17" s="27">
        <f t="shared" si="4"/>
        <v>12.655328514555286</v>
      </c>
      <c r="L17" s="115">
        <f t="shared" si="4"/>
        <v>10.75969542686115</v>
      </c>
      <c r="M17" s="135"/>
    </row>
    <row r="18" spans="2:13" x14ac:dyDescent="0.25">
      <c r="B18" s="118" t="str">
        <f>B7</f>
        <v>SMIC</v>
      </c>
      <c r="C18" s="27">
        <f t="shared" ref="C18:L18" si="5">C7/C$9*100</f>
        <v>6.3371121918844491</v>
      </c>
      <c r="D18" s="27">
        <f t="shared" si="5"/>
        <v>7.5395357053255756</v>
      </c>
      <c r="E18" s="27">
        <f t="shared" si="5"/>
        <v>7.9642252234596036</v>
      </c>
      <c r="F18" s="27">
        <f t="shared" si="5"/>
        <v>7.746961080852155</v>
      </c>
      <c r="G18" s="27">
        <f t="shared" si="5"/>
        <v>8.2525388576166332</v>
      </c>
      <c r="H18" s="27">
        <f t="shared" si="5"/>
        <v>9.8991246145298781</v>
      </c>
      <c r="I18" s="27">
        <f t="shared" si="5"/>
        <v>9.7161714241927708</v>
      </c>
      <c r="J18" s="27">
        <f t="shared" si="5"/>
        <v>10.187975597954186</v>
      </c>
      <c r="K18" s="27">
        <f t="shared" si="5"/>
        <v>10.419971160028911</v>
      </c>
      <c r="L18" s="115">
        <f t="shared" si="5"/>
        <v>10.90660377828948</v>
      </c>
      <c r="M18" s="135"/>
    </row>
    <row r="19" spans="2:13" x14ac:dyDescent="0.25">
      <c r="B19" s="118" t="str">
        <f>B8</f>
        <v>GF</v>
      </c>
      <c r="C19" s="27">
        <f t="shared" ref="C19:L19" si="6">C8/C$9*100</f>
        <v>10.405470450920621</v>
      </c>
      <c r="D19" s="27">
        <f t="shared" si="6"/>
        <v>10.070819362812671</v>
      </c>
      <c r="E19" s="27">
        <f t="shared" si="6"/>
        <v>9.6775266823998845</v>
      </c>
      <c r="F19" s="27">
        <f t="shared" si="6"/>
        <v>8.2445849729080809</v>
      </c>
      <c r="G19" s="27">
        <f t="shared" si="6"/>
        <v>9.1578679883147718</v>
      </c>
      <c r="H19" s="27">
        <f t="shared" si="6"/>
        <v>9.0429479455293489</v>
      </c>
      <c r="I19" s="27">
        <f t="shared" si="6"/>
        <v>9.1340738463051299</v>
      </c>
      <c r="J19" s="27">
        <f t="shared" si="6"/>
        <v>8.7606972472550027</v>
      </c>
      <c r="K19" s="27">
        <f t="shared" si="6"/>
        <v>8.1960365700402029</v>
      </c>
      <c r="L19" s="115">
        <f t="shared" si="6"/>
        <v>8.741744109595869</v>
      </c>
      <c r="M19" s="135"/>
    </row>
    <row r="20" spans="2:13" x14ac:dyDescent="0.25">
      <c r="B20" s="120" t="str">
        <f t="shared" ref="B20" si="7">B9</f>
        <v>TOT</v>
      </c>
      <c r="C20" s="121">
        <f t="shared" ref="C20:L20" si="8">C9/C$9*100</f>
        <v>100</v>
      </c>
      <c r="D20" s="121">
        <f t="shared" si="8"/>
        <v>100</v>
      </c>
      <c r="E20" s="121">
        <f t="shared" si="8"/>
        <v>100</v>
      </c>
      <c r="F20" s="121">
        <f t="shared" si="8"/>
        <v>100</v>
      </c>
      <c r="G20" s="121">
        <f t="shared" si="8"/>
        <v>100</v>
      </c>
      <c r="H20" s="121">
        <f t="shared" si="8"/>
        <v>100</v>
      </c>
      <c r="I20" s="121">
        <f t="shared" si="8"/>
        <v>100</v>
      </c>
      <c r="J20" s="121">
        <f t="shared" si="8"/>
        <v>100</v>
      </c>
      <c r="K20" s="121">
        <f t="shared" si="8"/>
        <v>100</v>
      </c>
      <c r="L20" s="122">
        <f t="shared" si="8"/>
        <v>100</v>
      </c>
      <c r="M20" s="29"/>
    </row>
    <row r="22" spans="2:13" x14ac:dyDescent="0.25">
      <c r="B22" s="299" t="s">
        <v>1401</v>
      </c>
      <c r="C22" s="297"/>
      <c r="D22" s="297">
        <f>D14</f>
        <v>2012</v>
      </c>
      <c r="E22" s="297">
        <f t="shared" ref="E22:L22" si="9">E14</f>
        <v>2013</v>
      </c>
      <c r="F22" s="297">
        <f t="shared" si="9"/>
        <v>2014</v>
      </c>
      <c r="G22" s="297">
        <f t="shared" si="9"/>
        <v>2015</v>
      </c>
      <c r="H22" s="297">
        <f t="shared" si="9"/>
        <v>2016</v>
      </c>
      <c r="I22" s="297">
        <f t="shared" si="9"/>
        <v>2017</v>
      </c>
      <c r="J22" s="297">
        <f t="shared" si="9"/>
        <v>2018</v>
      </c>
      <c r="K22" s="297">
        <f t="shared" si="9"/>
        <v>2019</v>
      </c>
      <c r="L22" s="265">
        <f t="shared" si="9"/>
        <v>2020</v>
      </c>
      <c r="M22" s="230" t="s">
        <v>1400</v>
      </c>
    </row>
    <row r="23" spans="2:13" x14ac:dyDescent="0.25">
      <c r="B23" s="117" t="str">
        <f>B4</f>
        <v>UMC</v>
      </c>
      <c r="C23" s="113"/>
      <c r="D23" s="126">
        <f t="shared" ref="D23:L27" si="10">(D4-C4)/C4*100</f>
        <v>3.7299771167048101</v>
      </c>
      <c r="E23" s="126">
        <f t="shared" si="10"/>
        <v>10.875799691153755</v>
      </c>
      <c r="F23" s="126">
        <f t="shared" si="10"/>
        <v>11.997612415439711</v>
      </c>
      <c r="G23" s="126">
        <f t="shared" si="10"/>
        <v>5.5249600284242373</v>
      </c>
      <c r="H23" s="126">
        <f t="shared" si="10"/>
        <v>4.2087542087542147</v>
      </c>
      <c r="I23" s="126">
        <f t="shared" si="10"/>
        <v>11.40549273021001</v>
      </c>
      <c r="J23" s="126">
        <f t="shared" si="10"/>
        <v>3.5817865429234237</v>
      </c>
      <c r="K23" s="126">
        <f t="shared" si="10"/>
        <v>1.1759764804703887</v>
      </c>
      <c r="L23" s="127">
        <f t="shared" si="10"/>
        <v>23.176975231769774</v>
      </c>
    </row>
    <row r="24" spans="2:13" x14ac:dyDescent="0.25">
      <c r="B24" s="118" t="str">
        <f>B5</f>
        <v>TSMC</v>
      </c>
      <c r="D24" s="29">
        <f t="shared" si="10"/>
        <v>14.680607275852193</v>
      </c>
      <c r="E24" s="29">
        <f t="shared" si="10"/>
        <v>8.6861496190832721</v>
      </c>
      <c r="F24" s="29">
        <f t="shared" si="10"/>
        <v>3.4185578856650571</v>
      </c>
      <c r="G24" s="29">
        <f t="shared" si="10"/>
        <v>12.499999999999996</v>
      </c>
      <c r="H24" s="29">
        <f t="shared" si="10"/>
        <v>11.111111111111109</v>
      </c>
      <c r="I24" s="29">
        <f t="shared" si="10"/>
        <v>10</v>
      </c>
      <c r="J24" s="29">
        <f t="shared" si="10"/>
        <v>9.0909090909090899</v>
      </c>
      <c r="K24" s="29">
        <f t="shared" si="10"/>
        <v>2.5000000000000058</v>
      </c>
      <c r="L24" s="123">
        <f t="shared" si="10"/>
        <v>5.6910569105690865</v>
      </c>
    </row>
    <row r="25" spans="2:13" x14ac:dyDescent="0.25">
      <c r="B25" s="118" t="str">
        <f>B6</f>
        <v>STmicro</v>
      </c>
      <c r="D25" s="29">
        <f t="shared" si="10"/>
        <v>-4.5935950720754626</v>
      </c>
      <c r="E25" s="29">
        <f t="shared" si="10"/>
        <v>12.582709227077723</v>
      </c>
      <c r="F25" s="29">
        <f t="shared" si="10"/>
        <v>-0.79052533405889247</v>
      </c>
      <c r="G25" s="29">
        <f t="shared" si="10"/>
        <v>0.37001577857400503</v>
      </c>
      <c r="H25" s="29">
        <f t="shared" si="10"/>
        <v>-2.3720771911799514</v>
      </c>
      <c r="I25" s="29">
        <f t="shared" si="10"/>
        <v>15.202864574420769</v>
      </c>
      <c r="J25" s="29">
        <f t="shared" si="10"/>
        <v>7.3283455957831771</v>
      </c>
      <c r="K25" s="29">
        <f t="shared" si="10"/>
        <v>-3.4422913812226805</v>
      </c>
      <c r="L25" s="123">
        <f t="shared" si="10"/>
        <v>-7.9530251226401063</v>
      </c>
    </row>
    <row r="26" spans="2:13" x14ac:dyDescent="0.25">
      <c r="B26" s="118" t="str">
        <f>B7</f>
        <v>SMIC</v>
      </c>
      <c r="D26" s="29">
        <f t="shared" si="10"/>
        <v>30.151959302314612</v>
      </c>
      <c r="E26" s="29">
        <f t="shared" si="10"/>
        <v>16.093180543596453</v>
      </c>
      <c r="F26" s="29">
        <f t="shared" si="10"/>
        <v>-0.57782876232737801</v>
      </c>
      <c r="G26" s="29">
        <f t="shared" si="10"/>
        <v>17.845927211999737</v>
      </c>
      <c r="H26" s="29">
        <f t="shared" si="10"/>
        <v>31.22445676253821</v>
      </c>
      <c r="I26" s="29">
        <f t="shared" si="10"/>
        <v>8.921730788886828</v>
      </c>
      <c r="J26" s="29">
        <f t="shared" si="10"/>
        <v>13.080791181934964</v>
      </c>
      <c r="K26" s="29">
        <f t="shared" si="10"/>
        <v>3.1619211388313704</v>
      </c>
      <c r="L26" s="123">
        <f t="shared" si="10"/>
        <v>13.319848304381074</v>
      </c>
    </row>
    <row r="27" spans="2:13" x14ac:dyDescent="0.25">
      <c r="B27" s="119" t="str">
        <f>B8</f>
        <v>GF</v>
      </c>
      <c r="C27" s="116"/>
      <c r="D27" s="124">
        <f t="shared" si="10"/>
        <v>5.8767471410419247</v>
      </c>
      <c r="E27" s="124">
        <f t="shared" si="10"/>
        <v>5.6105610561056212</v>
      </c>
      <c r="F27" s="124">
        <f t="shared" si="10"/>
        <v>-12.923728813559329</v>
      </c>
      <c r="G27" s="124">
        <f t="shared" si="10"/>
        <v>22.880778588807775</v>
      </c>
      <c r="H27" s="124">
        <f t="shared" si="10"/>
        <v>8.0242406542056237</v>
      </c>
      <c r="I27" s="124">
        <f t="shared" si="10"/>
        <v>12.090974309718193</v>
      </c>
      <c r="J27" s="124">
        <f t="shared" si="10"/>
        <v>3.4356539819328251</v>
      </c>
      <c r="K27" s="124">
        <f t="shared" si="10"/>
        <v>-5.6360708940598396</v>
      </c>
      <c r="L27" s="125">
        <f t="shared" si="10"/>
        <v>15.472127467414834</v>
      </c>
    </row>
    <row r="28" spans="2:13" x14ac:dyDescent="0.25">
      <c r="B28" s="119" t="str">
        <f t="shared" ref="B28" si="11">B9</f>
        <v>TOT</v>
      </c>
      <c r="C28" s="116"/>
      <c r="D28" s="124">
        <f t="shared" ref="D28:L28" si="12">(D9-C9)/C9*100</f>
        <v>9.3950079060909637</v>
      </c>
      <c r="E28" s="124">
        <f t="shared" si="12"/>
        <v>9.902552388270438</v>
      </c>
      <c r="F28" s="124">
        <f t="shared" si="12"/>
        <v>2.2104739753117606</v>
      </c>
      <c r="G28" s="124">
        <f t="shared" si="12"/>
        <v>10.626296634240983</v>
      </c>
      <c r="H28" s="124">
        <f t="shared" si="12"/>
        <v>9.3970397052032943</v>
      </c>
      <c r="I28" s="124">
        <f t="shared" si="12"/>
        <v>10.972700998742088</v>
      </c>
      <c r="J28" s="124">
        <f t="shared" si="12"/>
        <v>7.8440305773460377</v>
      </c>
      <c r="K28" s="124">
        <f t="shared" si="12"/>
        <v>0.86507141518536601</v>
      </c>
      <c r="L28" s="125">
        <f t="shared" si="12"/>
        <v>8.2637249132460102</v>
      </c>
    </row>
  </sheetData>
  <conditionalFormatting sqref="D23:D27">
    <cfRule type="colorScale" priority="10">
      <colorScale>
        <cfvo type="min"/>
        <cfvo type="percentile" val="50"/>
        <cfvo type="max"/>
        <color rgb="FFF8696B"/>
        <color rgb="FFFFEB84"/>
        <color rgb="FF63BE7B"/>
      </colorScale>
    </cfRule>
  </conditionalFormatting>
  <conditionalFormatting sqref="E23:E27">
    <cfRule type="colorScale" priority="11">
      <colorScale>
        <cfvo type="min"/>
        <cfvo type="percentile" val="50"/>
        <cfvo type="max"/>
        <color rgb="FFF8696B"/>
        <color rgb="FFFFEB84"/>
        <color rgb="FF63BE7B"/>
      </colorScale>
    </cfRule>
  </conditionalFormatting>
  <conditionalFormatting sqref="F23:F27">
    <cfRule type="colorScale" priority="12">
      <colorScale>
        <cfvo type="min"/>
        <cfvo type="percentile" val="50"/>
        <cfvo type="max"/>
        <color rgb="FFF8696B"/>
        <color rgb="FFFFEB84"/>
        <color rgb="FF63BE7B"/>
      </colorScale>
    </cfRule>
  </conditionalFormatting>
  <conditionalFormatting sqref="G23:G27">
    <cfRule type="colorScale" priority="13">
      <colorScale>
        <cfvo type="min"/>
        <cfvo type="percentile" val="50"/>
        <cfvo type="max"/>
        <color rgb="FFF8696B"/>
        <color rgb="FFFFEB84"/>
        <color rgb="FF63BE7B"/>
      </colorScale>
    </cfRule>
  </conditionalFormatting>
  <conditionalFormatting sqref="H23:H27">
    <cfRule type="colorScale" priority="14">
      <colorScale>
        <cfvo type="min"/>
        <cfvo type="percentile" val="50"/>
        <cfvo type="max"/>
        <color rgb="FFF8696B"/>
        <color rgb="FFFFEB84"/>
        <color rgb="FF63BE7B"/>
      </colorScale>
    </cfRule>
  </conditionalFormatting>
  <conditionalFormatting sqref="I23:I27">
    <cfRule type="colorScale" priority="15">
      <colorScale>
        <cfvo type="min"/>
        <cfvo type="percentile" val="50"/>
        <cfvo type="max"/>
        <color rgb="FFF8696B"/>
        <color rgb="FFFFEB84"/>
        <color rgb="FF63BE7B"/>
      </colorScale>
    </cfRule>
  </conditionalFormatting>
  <conditionalFormatting sqref="J23:J27">
    <cfRule type="colorScale" priority="16">
      <colorScale>
        <cfvo type="min"/>
        <cfvo type="percentile" val="50"/>
        <cfvo type="max"/>
        <color rgb="FFF8696B"/>
        <color rgb="FFFFEB84"/>
        <color rgb="FF63BE7B"/>
      </colorScale>
    </cfRule>
  </conditionalFormatting>
  <conditionalFormatting sqref="K23:K27">
    <cfRule type="colorScale" priority="17">
      <colorScale>
        <cfvo type="min"/>
        <cfvo type="percentile" val="50"/>
        <cfvo type="max"/>
        <color rgb="FFF8696B"/>
        <color rgb="FFFFEB84"/>
        <color rgb="FF63BE7B"/>
      </colorScale>
    </cfRule>
  </conditionalFormatting>
  <conditionalFormatting sqref="L23:L27">
    <cfRule type="colorScale" priority="18">
      <colorScale>
        <cfvo type="min"/>
        <cfvo type="percentile" val="50"/>
        <cfvo type="max"/>
        <color rgb="FFF8696B"/>
        <color rgb="FFFFEB84"/>
        <color rgb="FF63BE7B"/>
      </colorScale>
    </cfRule>
  </conditionalFormatting>
  <pageMargins left="0.7" right="0.7" top="0.75" bottom="0.75" header="0.3" footer="0.3"/>
  <pageSetup paperSize="9"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DC312D-960A-4341-8370-AAD554A2F286}">
  <sheetPr>
    <tabColor rgb="FFDBDBDB"/>
  </sheetPr>
  <dimension ref="B2:H63"/>
  <sheetViews>
    <sheetView topLeftCell="A43" workbookViewId="0">
      <selection activeCell="D61" sqref="D61"/>
    </sheetView>
  </sheetViews>
  <sheetFormatPr defaultRowHeight="15.75" x14ac:dyDescent="0.25"/>
  <cols>
    <col min="4" max="4" width="34.5" customWidth="1"/>
  </cols>
  <sheetData>
    <row r="2" spans="2:4" x14ac:dyDescent="0.25">
      <c r="B2" s="237" t="s">
        <v>507</v>
      </c>
      <c r="C2" t="s">
        <v>1393</v>
      </c>
    </row>
    <row r="4" spans="2:4" x14ac:dyDescent="0.25">
      <c r="B4" s="239" t="s">
        <v>1402</v>
      </c>
      <c r="C4" s="239" t="s">
        <v>3</v>
      </c>
      <c r="D4" s="239" t="s">
        <v>1403</v>
      </c>
    </row>
    <row r="5" spans="2:4" x14ac:dyDescent="0.25">
      <c r="B5" s="19" t="s">
        <v>255</v>
      </c>
      <c r="C5" s="11">
        <v>2020</v>
      </c>
      <c r="D5" s="198">
        <f>'Industries data'!H4/'Industries data'!F4</f>
        <v>0.70473549041946948</v>
      </c>
    </row>
    <row r="6" spans="2:4" x14ac:dyDescent="0.25">
      <c r="B6" s="19" t="s">
        <v>255</v>
      </c>
      <c r="C6" s="11">
        <v>2019</v>
      </c>
      <c r="D6" s="198">
        <f>'Industries data'!H5/'Industries data'!F5</f>
        <v>0.71986157558843755</v>
      </c>
    </row>
    <row r="7" spans="2:4" x14ac:dyDescent="0.25">
      <c r="B7" s="19" t="s">
        <v>255</v>
      </c>
      <c r="C7" s="11">
        <v>2018</v>
      </c>
      <c r="D7" s="198">
        <f>'Industries data'!H6/'Industries data'!F6</f>
        <v>0.6962157546736254</v>
      </c>
    </row>
    <row r="8" spans="2:4" x14ac:dyDescent="0.25">
      <c r="B8" s="19" t="s">
        <v>255</v>
      </c>
      <c r="C8" s="11">
        <v>2017</v>
      </c>
      <c r="D8" s="198">
        <f>'Industries data'!H7/'Industries data'!F7</f>
        <v>0.69192685100311813</v>
      </c>
    </row>
    <row r="9" spans="2:4" x14ac:dyDescent="0.25">
      <c r="B9" s="19" t="s">
        <v>255</v>
      </c>
      <c r="C9" s="11">
        <v>2016</v>
      </c>
      <c r="D9" s="198">
        <f>'Industries data'!H8/'Industries data'!F8</f>
        <v>0.65827041554590893</v>
      </c>
    </row>
    <row r="10" spans="2:4" x14ac:dyDescent="0.25">
      <c r="B10" s="19" t="s">
        <v>255</v>
      </c>
      <c r="C10" s="11">
        <v>2015</v>
      </c>
      <c r="D10" s="198">
        <f>'Industries data'!H9/'Industries data'!F9</f>
        <v>0.65257695993308951</v>
      </c>
    </row>
    <row r="11" spans="2:4" x14ac:dyDescent="0.25">
      <c r="B11" s="19" t="s">
        <v>255</v>
      </c>
      <c r="C11" s="11">
        <v>2014</v>
      </c>
      <c r="D11" s="198">
        <f>'Industries data'!H10/'Industries data'!F10</f>
        <v>0.66047215169358753</v>
      </c>
    </row>
    <row r="12" spans="2:4" x14ac:dyDescent="0.25">
      <c r="B12" s="19" t="s">
        <v>255</v>
      </c>
      <c r="C12" s="11">
        <v>2013</v>
      </c>
      <c r="D12" s="198">
        <f>'Industries data'!H11/'Industries data'!F11</f>
        <v>0.73425585864831266</v>
      </c>
    </row>
    <row r="13" spans="2:4" x14ac:dyDescent="0.25">
      <c r="B13" s="19" t="s">
        <v>255</v>
      </c>
      <c r="C13" s="11">
        <v>2012</v>
      </c>
      <c r="D13" s="198">
        <f>'Industries data'!H12/'Industries data'!F12</f>
        <v>0.66848014056886162</v>
      </c>
    </row>
    <row r="14" spans="2:4" x14ac:dyDescent="0.25">
      <c r="B14" s="19" t="s">
        <v>255</v>
      </c>
      <c r="C14" s="11">
        <v>2011</v>
      </c>
      <c r="D14" s="198">
        <f>'Industries data'!H13/'Industries data'!F13</f>
        <v>0.66987587095815238</v>
      </c>
    </row>
    <row r="15" spans="2:4" x14ac:dyDescent="0.25">
      <c r="B15" s="19"/>
      <c r="C15" s="11"/>
      <c r="D15" s="198"/>
    </row>
    <row r="16" spans="2:4" x14ac:dyDescent="0.25">
      <c r="B16" s="19" t="s">
        <v>271</v>
      </c>
      <c r="C16" s="11">
        <v>2020</v>
      </c>
      <c r="D16" s="198">
        <f>'Industries data'!H15/'Industries data'!F15</f>
        <v>0.77554552106460239</v>
      </c>
    </row>
    <row r="17" spans="2:4" x14ac:dyDescent="0.25">
      <c r="B17" s="19" t="s">
        <v>271</v>
      </c>
      <c r="C17" s="11">
        <v>2019</v>
      </c>
      <c r="D17" s="198">
        <f>'Industries data'!H16/'Industries data'!F16</f>
        <v>0.79899959147450883</v>
      </c>
    </row>
    <row r="18" spans="2:4" x14ac:dyDescent="0.25">
      <c r="B18" s="19" t="s">
        <v>271</v>
      </c>
      <c r="C18" s="11">
        <v>2018</v>
      </c>
      <c r="D18" s="198">
        <f>'Industries data'!H17/'Industries data'!F17</f>
        <v>0.78762268452777662</v>
      </c>
    </row>
    <row r="19" spans="2:4" x14ac:dyDescent="0.25">
      <c r="B19" s="19" t="s">
        <v>271</v>
      </c>
      <c r="C19" s="11">
        <v>2017</v>
      </c>
      <c r="D19" s="198">
        <f>'Industries data'!H18/'Industries data'!F18</f>
        <v>0.77684937474814597</v>
      </c>
    </row>
    <row r="20" spans="2:4" x14ac:dyDescent="0.25">
      <c r="B20" s="19" t="s">
        <v>271</v>
      </c>
      <c r="C20" s="11">
        <v>2016</v>
      </c>
      <c r="D20" s="198">
        <f>'Industries data'!H19/'Industries data'!F19</f>
        <v>0.75321320903170663</v>
      </c>
    </row>
    <row r="21" spans="2:4" x14ac:dyDescent="0.25">
      <c r="B21" s="19" t="s">
        <v>271</v>
      </c>
      <c r="C21" s="11">
        <v>2015</v>
      </c>
      <c r="D21" s="198">
        <f>'Industries data'!H20/'Industries data'!F20</f>
        <v>0.73367085835984736</v>
      </c>
    </row>
    <row r="22" spans="2:4" x14ac:dyDescent="0.25">
      <c r="B22" s="19" t="s">
        <v>271</v>
      </c>
      <c r="C22" s="11">
        <v>2014</v>
      </c>
      <c r="D22" s="198">
        <f>'Industries data'!H21/'Industries data'!F21</f>
        <v>0.70409371777066398</v>
      </c>
    </row>
    <row r="23" spans="2:4" x14ac:dyDescent="0.25">
      <c r="B23" s="19" t="s">
        <v>271</v>
      </c>
      <c r="C23" s="11">
        <v>2013</v>
      </c>
      <c r="D23" s="198">
        <f>'Industries data'!H22/'Industries data'!F22</f>
        <v>0.68991328337172131</v>
      </c>
    </row>
    <row r="24" spans="2:4" x14ac:dyDescent="0.25">
      <c r="B24" s="19" t="s">
        <v>271</v>
      </c>
      <c r="C24" s="11">
        <v>2012</v>
      </c>
      <c r="D24" s="198">
        <f>'Industries data'!H23/'Industries data'!F23</f>
        <v>0.67950901430676924</v>
      </c>
    </row>
    <row r="25" spans="2:4" x14ac:dyDescent="0.25">
      <c r="B25" s="19" t="s">
        <v>271</v>
      </c>
      <c r="C25" s="11">
        <v>2011</v>
      </c>
      <c r="D25" s="198">
        <f>'Industries data'!H24/'Industries data'!F24</f>
        <v>0.69052356589681296</v>
      </c>
    </row>
    <row r="26" spans="2:4" x14ac:dyDescent="0.25">
      <c r="B26" s="19" t="s">
        <v>271</v>
      </c>
      <c r="C26" s="11">
        <v>2010</v>
      </c>
      <c r="D26" s="198">
        <f>'Industries data'!H25/'Industries data'!F25</f>
        <v>0.63539083776136729</v>
      </c>
    </row>
    <row r="27" spans="2:4" x14ac:dyDescent="0.25">
      <c r="B27" s="19"/>
      <c r="C27" s="11"/>
      <c r="D27" s="198"/>
    </row>
    <row r="28" spans="2:4" x14ac:dyDescent="0.25">
      <c r="B28" s="19" t="s">
        <v>290</v>
      </c>
      <c r="C28" s="11">
        <v>2020</v>
      </c>
      <c r="D28" s="198">
        <f>'Industries data'!H27/'Industries data'!F27</f>
        <v>0.53714285714285726</v>
      </c>
    </row>
    <row r="29" spans="2:4" x14ac:dyDescent="0.25">
      <c r="B29" s="19" t="s">
        <v>290</v>
      </c>
      <c r="C29" s="11">
        <v>2019</v>
      </c>
      <c r="D29" s="198">
        <f>'Industries data'!H28/'Industries data'!F28</f>
        <v>0.55758538522637013</v>
      </c>
    </row>
    <row r="30" spans="2:4" x14ac:dyDescent="0.25">
      <c r="B30" s="19" t="s">
        <v>290</v>
      </c>
      <c r="C30" s="11">
        <v>2018</v>
      </c>
      <c r="D30" s="198">
        <f>'Industries data'!H29/'Industries data'!F29</f>
        <v>0.55121951219512189</v>
      </c>
    </row>
    <row r="31" spans="2:4" x14ac:dyDescent="0.25">
      <c r="B31" s="19" t="s">
        <v>290</v>
      </c>
      <c r="C31" s="11">
        <v>2017</v>
      </c>
      <c r="D31" s="198">
        <f>'Industries data'!H30/'Industries data'!F30</f>
        <v>0.55547391623806019</v>
      </c>
    </row>
    <row r="32" spans="2:4" x14ac:dyDescent="0.25">
      <c r="B32" s="19" t="s">
        <v>290</v>
      </c>
      <c r="C32" s="11">
        <v>2016</v>
      </c>
      <c r="D32" s="198">
        <f>'Industries data'!H31/'Industries data'!F31</f>
        <v>0.57242447714949651</v>
      </c>
    </row>
    <row r="33" spans="2:4" x14ac:dyDescent="0.25">
      <c r="B33" s="19" t="s">
        <v>290</v>
      </c>
      <c r="C33" s="11">
        <v>2015</v>
      </c>
      <c r="D33" s="198">
        <f>'Industries data'!H32/'Industries data'!F32</f>
        <v>0.56538170823885114</v>
      </c>
    </row>
    <row r="34" spans="2:4" x14ac:dyDescent="0.25">
      <c r="B34" s="19" t="s">
        <v>290</v>
      </c>
      <c r="C34" s="11">
        <v>2014</v>
      </c>
      <c r="D34" s="198">
        <f>'Industries data'!H33/'Industries data'!F33</f>
        <v>0.55413105413105412</v>
      </c>
    </row>
    <row r="35" spans="2:4" x14ac:dyDescent="0.25">
      <c r="B35" s="19" t="s">
        <v>290</v>
      </c>
      <c r="C35" s="11">
        <v>2013</v>
      </c>
      <c r="D35" s="198">
        <f>'Industries data'!H34/'Industries data'!F34</f>
        <v>0.59532505478451425</v>
      </c>
    </row>
    <row r="36" spans="2:4" x14ac:dyDescent="0.25">
      <c r="B36" s="19" t="s">
        <v>290</v>
      </c>
      <c r="C36" s="11">
        <v>2012</v>
      </c>
      <c r="D36" s="198">
        <f>'Industries data'!H35/'Industries data'!F35</f>
        <v>0.59611231101511886</v>
      </c>
    </row>
    <row r="37" spans="2:4" x14ac:dyDescent="0.25">
      <c r="B37" s="19" t="s">
        <v>290</v>
      </c>
      <c r="C37" s="11">
        <v>2011</v>
      </c>
      <c r="D37" s="198">
        <f>'Industries data'!H36/'Industries data'!F36</f>
        <v>0.59058207979071287</v>
      </c>
    </row>
    <row r="38" spans="2:4" x14ac:dyDescent="0.25">
      <c r="B38" s="19"/>
      <c r="C38" s="11"/>
      <c r="D38" s="198"/>
    </row>
    <row r="39" spans="2:4" x14ac:dyDescent="0.25">
      <c r="B39" s="19" t="s">
        <v>302</v>
      </c>
      <c r="C39" s="11">
        <v>2020</v>
      </c>
      <c r="D39" s="198">
        <f>'Industries data'!H38/'Industries data'!F38</f>
        <v>0.74164462063527326</v>
      </c>
    </row>
    <row r="40" spans="2:4" x14ac:dyDescent="0.25">
      <c r="B40" s="19" t="s">
        <v>302</v>
      </c>
      <c r="C40" s="11">
        <v>2019</v>
      </c>
      <c r="D40" s="198">
        <f>'Industries data'!H39/'Industries data'!F39</f>
        <v>0.74970004893251085</v>
      </c>
    </row>
    <row r="41" spans="2:4" x14ac:dyDescent="0.25">
      <c r="B41" s="19" t="s">
        <v>302</v>
      </c>
      <c r="C41" s="11">
        <v>2018</v>
      </c>
      <c r="D41" s="198">
        <f>'Industries data'!H40/'Industries data'!F40</f>
        <v>0.76365764207267717</v>
      </c>
    </row>
    <row r="42" spans="2:4" x14ac:dyDescent="0.25">
      <c r="B42" s="19" t="s">
        <v>302</v>
      </c>
      <c r="C42" s="11">
        <v>2017</v>
      </c>
      <c r="D42" s="198">
        <f>'Industries data'!H41/'Industries data'!F41</f>
        <v>0.74273204425887862</v>
      </c>
    </row>
    <row r="43" spans="2:4" x14ac:dyDescent="0.25">
      <c r="B43" s="19" t="s">
        <v>302</v>
      </c>
      <c r="C43" s="11">
        <v>2016</v>
      </c>
      <c r="D43" s="198">
        <f>'Industries data'!H42/'Industries data'!F42</f>
        <v>0.71956567549881878</v>
      </c>
    </row>
    <row r="44" spans="2:4" x14ac:dyDescent="0.25">
      <c r="B44" s="19" t="s">
        <v>302</v>
      </c>
      <c r="C44" s="11">
        <v>2015</v>
      </c>
      <c r="D44" s="198">
        <f>'Industries data'!H43/'Industries data'!F43</f>
        <v>0.71311052359936389</v>
      </c>
    </row>
    <row r="45" spans="2:4" x14ac:dyDescent="0.25">
      <c r="B45" s="19" t="s">
        <v>302</v>
      </c>
      <c r="C45" s="11">
        <v>2014</v>
      </c>
      <c r="D45" s="198">
        <f>'Industries data'!H44/'Industries data'!F44</f>
        <v>0.72009071331793006</v>
      </c>
    </row>
    <row r="46" spans="2:4" x14ac:dyDescent="0.25">
      <c r="B46" s="19" t="s">
        <v>302</v>
      </c>
      <c r="C46" s="11">
        <v>2013</v>
      </c>
      <c r="D46" s="198">
        <f>'Industries data'!H45/'Industries data'!F45</f>
        <v>0.71390643131005793</v>
      </c>
    </row>
    <row r="47" spans="2:4" x14ac:dyDescent="0.25">
      <c r="B47" s="19" t="s">
        <v>302</v>
      </c>
      <c r="C47" s="11">
        <v>2012</v>
      </c>
      <c r="D47" s="198">
        <f>'Industries data'!H46/'Industries data'!F46</f>
        <v>0.74050607909617583</v>
      </c>
    </row>
    <row r="48" spans="2:4" x14ac:dyDescent="0.25">
      <c r="B48" s="19" t="s">
        <v>302</v>
      </c>
      <c r="C48" s="11">
        <v>2011</v>
      </c>
      <c r="D48" s="198">
        <f>'Industries data'!H47/'Industries data'!F47</f>
        <v>0.79154991593947643</v>
      </c>
    </row>
    <row r="49" spans="2:8" x14ac:dyDescent="0.25">
      <c r="B49" s="19"/>
      <c r="C49" s="11"/>
      <c r="D49" s="198"/>
    </row>
    <row r="50" spans="2:8" x14ac:dyDescent="0.25">
      <c r="B50" s="19" t="s">
        <v>316</v>
      </c>
      <c r="C50" s="11">
        <v>2020</v>
      </c>
      <c r="D50" s="198">
        <f>'Industries data'!H49/'Industries data'!F49</f>
        <v>0.33651485502194212</v>
      </c>
    </row>
    <row r="51" spans="2:8" x14ac:dyDescent="0.25">
      <c r="B51" s="19" t="s">
        <v>316</v>
      </c>
      <c r="C51" s="11">
        <v>2019</v>
      </c>
      <c r="D51" s="198">
        <f>'Industries data'!H50/'Industries data'!F50</f>
        <v>0.34502863176704707</v>
      </c>
    </row>
    <row r="52" spans="2:8" x14ac:dyDescent="0.25">
      <c r="B52" s="19" t="s">
        <v>316</v>
      </c>
      <c r="C52" s="11">
        <v>2018</v>
      </c>
      <c r="D52" s="198">
        <f>'Industries data'!H51/'Industries data'!F51</f>
        <v>0.35943851315915881</v>
      </c>
    </row>
    <row r="53" spans="2:8" x14ac:dyDescent="0.25">
      <c r="B53" s="19" t="s">
        <v>316</v>
      </c>
      <c r="C53" s="11">
        <v>2017</v>
      </c>
      <c r="D53" s="198">
        <f>'Industries data'!H52/'Industries data'!F52</f>
        <v>0.36241061347384268</v>
      </c>
    </row>
    <row r="54" spans="2:8" x14ac:dyDescent="0.25">
      <c r="B54" s="19" t="s">
        <v>316</v>
      </c>
      <c r="C54" s="11">
        <v>2016</v>
      </c>
      <c r="D54" s="198">
        <f>'Industries data'!H53/'Industries data'!F53</f>
        <v>0.37852129452729943</v>
      </c>
    </row>
    <row r="55" spans="2:8" x14ac:dyDescent="0.25">
      <c r="B55" s="19" t="s">
        <v>316</v>
      </c>
      <c r="C55" s="11">
        <v>2015</v>
      </c>
      <c r="D55" s="198">
        <f>'Industries data'!H54/'Industries data'!F54</f>
        <v>0.38276738921450054</v>
      </c>
    </row>
    <row r="56" spans="2:8" x14ac:dyDescent="0.25">
      <c r="B56" s="19" t="s">
        <v>316</v>
      </c>
      <c r="C56" s="11">
        <v>2014</v>
      </c>
      <c r="D56" s="198">
        <f>'Industries data'!H55/'Industries data'!F55</f>
        <v>0.4218748833005953</v>
      </c>
    </row>
    <row r="57" spans="2:8" x14ac:dyDescent="0.25">
      <c r="B57" s="19" t="s">
        <v>316</v>
      </c>
      <c r="C57" s="11">
        <v>2013</v>
      </c>
      <c r="D57" s="198">
        <f>'Industries data'!H56/'Industries data'!F56</f>
        <v>0.45276923046980672</v>
      </c>
    </row>
    <row r="58" spans="2:8" x14ac:dyDescent="0.25">
      <c r="B58" s="19" t="s">
        <v>316</v>
      </c>
      <c r="C58" s="11">
        <v>2012</v>
      </c>
      <c r="D58" s="198">
        <f>'Industries data'!H57/'Industries data'!F57</f>
        <v>0.47770887287521197</v>
      </c>
    </row>
    <row r="59" spans="2:8" x14ac:dyDescent="0.25">
      <c r="B59" s="19" t="s">
        <v>316</v>
      </c>
      <c r="C59" s="11">
        <v>2011</v>
      </c>
      <c r="D59" s="198">
        <f>'Industries data'!H58/'Industries data'!F58</f>
        <v>0.45367462761215538</v>
      </c>
    </row>
    <row r="60" spans="2:8" x14ac:dyDescent="0.25">
      <c r="D60" s="11"/>
    </row>
    <row r="61" spans="2:8" x14ac:dyDescent="0.25">
      <c r="B61" s="17" t="s">
        <v>1181</v>
      </c>
      <c r="C61" s="17"/>
      <c r="D61" s="374">
        <f>AVERAGEA(D5:D59)</f>
        <v>0.6259716409674777</v>
      </c>
      <c r="F61" s="373">
        <f>D62</f>
        <v>0.66987587095815238</v>
      </c>
    </row>
    <row r="62" spans="2:8" x14ac:dyDescent="0.25">
      <c r="B62" s="16" t="s">
        <v>1179</v>
      </c>
      <c r="C62" s="16"/>
      <c r="D62" s="300">
        <f>MEDIAN(D5:D59)</f>
        <v>0.66987587095815238</v>
      </c>
      <c r="H62" s="195"/>
    </row>
    <row r="63" spans="2:8" x14ac:dyDescent="0.25">
      <c r="F63" s="195"/>
    </row>
  </sheetData>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2FD0E0-B12F-472D-96DA-32AD393E0292}">
  <sheetPr>
    <tabColor rgb="FF000000"/>
  </sheetPr>
  <dimension ref="A1:AI167"/>
  <sheetViews>
    <sheetView zoomScale="50" zoomScaleNormal="50" workbookViewId="0">
      <pane ySplit="5" topLeftCell="A153" activePane="bottomLeft" state="frozen"/>
      <selection pane="bottomLeft" activeCell="W144" sqref="W144:W153"/>
    </sheetView>
  </sheetViews>
  <sheetFormatPr defaultRowHeight="15.75" x14ac:dyDescent="0.25"/>
  <cols>
    <col min="2" max="2" width="42.375" customWidth="1"/>
    <col min="3" max="21" width="14.625" customWidth="1"/>
    <col min="22" max="22" width="72.125" style="11" customWidth="1"/>
    <col min="23" max="23" width="14.625" style="81" customWidth="1"/>
    <col min="30" max="30" width="16.25" customWidth="1"/>
    <col min="31" max="31" width="31" style="11" customWidth="1"/>
  </cols>
  <sheetData>
    <row r="1" spans="1:35" s="82" customFormat="1" x14ac:dyDescent="0.25">
      <c r="A1"/>
      <c r="V1" s="87"/>
      <c r="W1" s="304"/>
      <c r="AE1" s="87"/>
    </row>
    <row r="2" spans="1:35" s="2" customFormat="1" ht="36.950000000000003" customHeight="1" x14ac:dyDescent="0.25">
      <c r="B2" s="380" t="s">
        <v>454</v>
      </c>
      <c r="C2" s="380"/>
      <c r="D2" s="380"/>
      <c r="E2" s="380"/>
      <c r="F2" s="380"/>
      <c r="G2" s="380"/>
      <c r="H2" s="380"/>
      <c r="I2" s="380"/>
      <c r="J2" s="380"/>
      <c r="K2" s="380"/>
      <c r="L2" s="380"/>
      <c r="M2" s="380"/>
      <c r="N2" s="380"/>
      <c r="O2" s="380"/>
      <c r="P2" s="380"/>
      <c r="Q2" s="380"/>
      <c r="R2" s="380"/>
      <c r="S2" s="380"/>
      <c r="T2" s="380"/>
      <c r="U2" s="380"/>
      <c r="V2" s="380"/>
      <c r="W2" s="380"/>
      <c r="X2" s="1"/>
      <c r="Y2" s="1"/>
      <c r="Z2" s="1"/>
      <c r="AA2" s="1"/>
      <c r="AB2" s="1"/>
      <c r="AC2" s="1"/>
      <c r="AD2" s="1"/>
      <c r="AE2" s="1"/>
      <c r="AF2" s="1"/>
      <c r="AG2" s="1"/>
      <c r="AH2" s="1"/>
      <c r="AI2" s="1"/>
    </row>
    <row r="3" spans="1:35" s="43" customFormat="1" x14ac:dyDescent="0.25">
      <c r="A3" s="2"/>
      <c r="B3" s="42"/>
      <c r="C3" s="42"/>
      <c r="D3" s="42"/>
      <c r="E3" s="42"/>
      <c r="F3" s="42"/>
      <c r="G3" s="42"/>
      <c r="H3" s="42"/>
      <c r="I3" s="42"/>
      <c r="J3" s="42"/>
      <c r="K3" s="42"/>
      <c r="L3" s="42"/>
      <c r="M3" s="42"/>
      <c r="N3" s="42"/>
      <c r="O3" s="42"/>
      <c r="P3" s="42"/>
      <c r="Q3" s="42"/>
      <c r="R3" s="42"/>
      <c r="S3" s="42"/>
      <c r="T3" s="42"/>
      <c r="U3" s="42"/>
      <c r="V3" s="73"/>
      <c r="W3" s="42"/>
    </row>
    <row r="4" spans="1:35" s="2" customFormat="1" ht="35.25" customHeight="1" x14ac:dyDescent="0.25">
      <c r="B4" s="75" t="s">
        <v>1</v>
      </c>
      <c r="C4" s="75" t="s">
        <v>2</v>
      </c>
      <c r="D4" s="75" t="s">
        <v>3</v>
      </c>
      <c r="E4" s="75" t="s">
        <v>4</v>
      </c>
      <c r="F4" s="75" t="s">
        <v>5</v>
      </c>
      <c r="G4" s="381" t="s">
        <v>6</v>
      </c>
      <c r="H4" s="382"/>
      <c r="I4" s="382"/>
      <c r="J4" s="382"/>
      <c r="K4" s="382"/>
      <c r="L4" s="382"/>
      <c r="M4" s="382"/>
      <c r="N4" s="382"/>
      <c r="O4" s="382"/>
      <c r="P4" s="382"/>
      <c r="Q4" s="382"/>
      <c r="R4" s="382"/>
      <c r="S4" s="382"/>
      <c r="T4" s="382"/>
      <c r="U4" s="383"/>
      <c r="V4" s="76" t="s">
        <v>7</v>
      </c>
      <c r="W4" s="244" t="s">
        <v>68</v>
      </c>
      <c r="X4" s="43"/>
      <c r="Y4" s="43"/>
      <c r="Z4" s="43"/>
      <c r="AA4" s="43"/>
      <c r="AB4" s="43"/>
      <c r="AC4" s="43"/>
    </row>
    <row r="5" spans="1:35" s="2" customFormat="1" ht="70.5" customHeight="1" x14ac:dyDescent="0.25">
      <c r="B5" s="8"/>
      <c r="C5" s="8"/>
      <c r="D5" s="8"/>
      <c r="E5" s="8"/>
      <c r="F5" s="77" t="s">
        <v>8</v>
      </c>
      <c r="G5" s="77" t="s">
        <v>9</v>
      </c>
      <c r="H5" s="77" t="s">
        <v>10</v>
      </c>
      <c r="I5" s="77" t="s">
        <v>11</v>
      </c>
      <c r="J5" s="77" t="s">
        <v>12</v>
      </c>
      <c r="K5" s="77" t="s">
        <v>13</v>
      </c>
      <c r="L5" s="77" t="s">
        <v>14</v>
      </c>
      <c r="M5" s="77" t="s">
        <v>15</v>
      </c>
      <c r="N5" s="77" t="s">
        <v>16</v>
      </c>
      <c r="O5" s="77" t="s">
        <v>17</v>
      </c>
      <c r="P5" s="77" t="s">
        <v>18</v>
      </c>
      <c r="Q5" s="77" t="s">
        <v>19</v>
      </c>
      <c r="R5" s="77" t="s">
        <v>20</v>
      </c>
      <c r="S5" s="77" t="s">
        <v>21</v>
      </c>
      <c r="T5" s="77" t="s">
        <v>22</v>
      </c>
      <c r="U5" s="77" t="s">
        <v>23</v>
      </c>
      <c r="V5" s="9"/>
      <c r="W5" s="42"/>
      <c r="X5" s="43"/>
      <c r="Y5" s="43"/>
      <c r="Z5" s="43"/>
      <c r="AA5" s="43"/>
      <c r="AB5" s="43"/>
      <c r="AC5" s="43"/>
    </row>
    <row r="6" spans="1:35" s="343" customFormat="1" x14ac:dyDescent="0.25">
      <c r="V6" s="350"/>
      <c r="W6" s="311"/>
      <c r="AE6" s="350"/>
    </row>
    <row r="7" spans="1:35" s="34" customFormat="1" ht="110.25" x14ac:dyDescent="0.25">
      <c r="A7" s="2"/>
      <c r="B7" s="2" t="s">
        <v>139</v>
      </c>
      <c r="C7" s="3" t="s">
        <v>140</v>
      </c>
      <c r="D7" s="3">
        <v>2020</v>
      </c>
      <c r="E7" s="81" t="s">
        <v>141</v>
      </c>
      <c r="F7" s="3" t="s">
        <v>45</v>
      </c>
      <c r="G7" s="7" t="s">
        <v>46</v>
      </c>
      <c r="H7" s="7" t="s">
        <v>73</v>
      </c>
      <c r="I7" s="7" t="s">
        <v>47</v>
      </c>
      <c r="J7" s="7">
        <v>28</v>
      </c>
      <c r="K7" s="3">
        <v>300</v>
      </c>
      <c r="L7" s="3" t="s">
        <v>53</v>
      </c>
      <c r="M7" s="3" t="s">
        <v>103</v>
      </c>
      <c r="N7" s="3" t="s">
        <v>53</v>
      </c>
      <c r="O7" s="3" t="s">
        <v>74</v>
      </c>
      <c r="P7" s="3" t="s">
        <v>88</v>
      </c>
      <c r="Q7" s="3" t="s">
        <v>50</v>
      </c>
      <c r="R7" s="7" t="s">
        <v>47</v>
      </c>
      <c r="S7" s="3" t="s">
        <v>72</v>
      </c>
      <c r="T7" s="3" t="s">
        <v>47</v>
      </c>
      <c r="U7" s="3" t="s">
        <v>47</v>
      </c>
      <c r="V7" s="4" t="s">
        <v>455</v>
      </c>
      <c r="W7" s="302">
        <f>'Bardon data'!C$19</f>
        <v>5.7640000000000002</v>
      </c>
      <c r="X7" s="2"/>
      <c r="Y7" s="2"/>
      <c r="Z7" s="2"/>
      <c r="AA7" s="2"/>
      <c r="AB7" s="2"/>
      <c r="AC7" s="2"/>
      <c r="AD7" s="2"/>
      <c r="AE7" s="2"/>
      <c r="AF7" s="2"/>
    </row>
    <row r="8" spans="1:35" s="34" customFormat="1" ht="110.25" x14ac:dyDescent="0.25">
      <c r="A8" s="2"/>
      <c r="B8" s="2" t="s">
        <v>139</v>
      </c>
      <c r="C8" s="21" t="s">
        <v>140</v>
      </c>
      <c r="D8" s="3">
        <v>2020</v>
      </c>
      <c r="E8" s="81" t="s">
        <v>141</v>
      </c>
      <c r="F8" s="91" t="s">
        <v>45</v>
      </c>
      <c r="G8" s="3" t="s">
        <v>46</v>
      </c>
      <c r="H8" s="7" t="s">
        <v>73</v>
      </c>
      <c r="I8" s="3" t="s">
        <v>47</v>
      </c>
      <c r="J8" s="7">
        <v>20</v>
      </c>
      <c r="K8" s="3">
        <v>300</v>
      </c>
      <c r="L8" s="3" t="s">
        <v>53</v>
      </c>
      <c r="M8" s="3" t="s">
        <v>103</v>
      </c>
      <c r="N8" s="3" t="s">
        <v>53</v>
      </c>
      <c r="O8" s="3" t="s">
        <v>74</v>
      </c>
      <c r="P8" s="3" t="s">
        <v>88</v>
      </c>
      <c r="Q8" s="3" t="s">
        <v>50</v>
      </c>
      <c r="R8" s="3" t="s">
        <v>47</v>
      </c>
      <c r="S8" s="3" t="s">
        <v>72</v>
      </c>
      <c r="T8" s="3" t="s">
        <v>47</v>
      </c>
      <c r="U8" s="3" t="s">
        <v>47</v>
      </c>
      <c r="V8" s="4" t="s">
        <v>455</v>
      </c>
      <c r="W8" s="302">
        <f>'Bardon data'!D$19</f>
        <v>6.3639999999999999</v>
      </c>
      <c r="X8" s="78"/>
      <c r="Y8" s="78"/>
      <c r="Z8" s="2"/>
      <c r="AA8" s="2"/>
      <c r="AB8" s="2"/>
      <c r="AC8" s="2"/>
      <c r="AD8" s="2"/>
      <c r="AE8" s="2"/>
      <c r="AF8" s="2"/>
    </row>
    <row r="9" spans="1:35" s="34" customFormat="1" ht="110.25" x14ac:dyDescent="0.25">
      <c r="A9" s="2"/>
      <c r="B9" s="2" t="s">
        <v>139</v>
      </c>
      <c r="C9" s="21" t="s">
        <v>140</v>
      </c>
      <c r="D9" s="3">
        <v>2020</v>
      </c>
      <c r="E9" s="81" t="s">
        <v>141</v>
      </c>
      <c r="F9" s="91" t="s">
        <v>45</v>
      </c>
      <c r="G9" s="3" t="s">
        <v>46</v>
      </c>
      <c r="H9" s="7" t="s">
        <v>73</v>
      </c>
      <c r="I9" s="3" t="s">
        <v>47</v>
      </c>
      <c r="J9" s="7">
        <v>14</v>
      </c>
      <c r="K9" s="3">
        <v>300</v>
      </c>
      <c r="L9" s="3" t="s">
        <v>53</v>
      </c>
      <c r="M9" s="3" t="s">
        <v>103</v>
      </c>
      <c r="N9" s="3" t="s">
        <v>53</v>
      </c>
      <c r="O9" s="3" t="s">
        <v>74</v>
      </c>
      <c r="P9" s="3" t="s">
        <v>88</v>
      </c>
      <c r="Q9" s="3" t="s">
        <v>50</v>
      </c>
      <c r="R9" s="3" t="s">
        <v>47</v>
      </c>
      <c r="S9" s="3" t="s">
        <v>72</v>
      </c>
      <c r="T9" s="3" t="s">
        <v>47</v>
      </c>
      <c r="U9" s="3" t="s">
        <v>47</v>
      </c>
      <c r="V9" s="4" t="s">
        <v>455</v>
      </c>
      <c r="W9" s="302">
        <f>'Bardon data'!E$19</f>
        <v>6.1820000000000004</v>
      </c>
      <c r="X9" s="78"/>
      <c r="Y9" s="78"/>
      <c r="Z9" s="2"/>
      <c r="AA9" s="2"/>
      <c r="AB9" s="2"/>
      <c r="AC9" s="2"/>
      <c r="AD9" s="2"/>
      <c r="AE9" s="2"/>
      <c r="AF9" s="2"/>
    </row>
    <row r="10" spans="1:35" s="34" customFormat="1" ht="110.25" x14ac:dyDescent="0.25">
      <c r="A10" s="2"/>
      <c r="B10" s="2" t="s">
        <v>139</v>
      </c>
      <c r="C10" s="21" t="s">
        <v>140</v>
      </c>
      <c r="D10" s="3">
        <v>2020</v>
      </c>
      <c r="E10" s="81" t="s">
        <v>141</v>
      </c>
      <c r="F10" s="91" t="s">
        <v>45</v>
      </c>
      <c r="G10" s="3" t="s">
        <v>46</v>
      </c>
      <c r="H10" s="7" t="s">
        <v>73</v>
      </c>
      <c r="I10" s="3" t="s">
        <v>47</v>
      </c>
      <c r="J10" s="7">
        <v>10</v>
      </c>
      <c r="K10" s="3">
        <v>300</v>
      </c>
      <c r="L10" s="3" t="s">
        <v>53</v>
      </c>
      <c r="M10" s="3" t="s">
        <v>103</v>
      </c>
      <c r="N10" s="3" t="s">
        <v>53</v>
      </c>
      <c r="O10" s="3" t="s">
        <v>74</v>
      </c>
      <c r="P10" s="3" t="s">
        <v>88</v>
      </c>
      <c r="Q10" s="3" t="s">
        <v>50</v>
      </c>
      <c r="R10" s="3" t="s">
        <v>47</v>
      </c>
      <c r="S10" s="3" t="s">
        <v>72</v>
      </c>
      <c r="T10" s="3" t="s">
        <v>47</v>
      </c>
      <c r="U10" s="3" t="s">
        <v>47</v>
      </c>
      <c r="V10" s="4" t="s">
        <v>455</v>
      </c>
      <c r="W10" s="302">
        <f>'Bardon data'!F$19</f>
        <v>7.5910000000000002</v>
      </c>
      <c r="X10" s="78"/>
      <c r="Y10" s="78"/>
      <c r="Z10" s="2"/>
      <c r="AA10" s="2"/>
      <c r="AB10" s="2"/>
      <c r="AC10" s="2"/>
      <c r="AD10" s="2"/>
      <c r="AE10" s="2"/>
      <c r="AF10" s="2"/>
    </row>
    <row r="11" spans="1:35" s="34" customFormat="1" ht="110.25" x14ac:dyDescent="0.25">
      <c r="A11" s="2"/>
      <c r="B11" s="2" t="s">
        <v>139</v>
      </c>
      <c r="C11" s="21" t="s">
        <v>140</v>
      </c>
      <c r="D11" s="3">
        <v>2020</v>
      </c>
      <c r="E11" s="81" t="s">
        <v>141</v>
      </c>
      <c r="F11" s="91" t="s">
        <v>45</v>
      </c>
      <c r="G11" s="3" t="s">
        <v>46</v>
      </c>
      <c r="H11" s="7" t="s">
        <v>73</v>
      </c>
      <c r="I11" s="3" t="s">
        <v>47</v>
      </c>
      <c r="J11" s="7">
        <v>8</v>
      </c>
      <c r="K11" s="3">
        <v>300</v>
      </c>
      <c r="L11" s="3" t="s">
        <v>53</v>
      </c>
      <c r="M11" s="3" t="s">
        <v>103</v>
      </c>
      <c r="N11" s="3" t="s">
        <v>53</v>
      </c>
      <c r="O11" s="3" t="s">
        <v>74</v>
      </c>
      <c r="P11" s="3" t="s">
        <v>88</v>
      </c>
      <c r="Q11" s="3" t="s">
        <v>50</v>
      </c>
      <c r="R11" s="3" t="s">
        <v>47</v>
      </c>
      <c r="S11" s="3" t="s">
        <v>72</v>
      </c>
      <c r="T11" s="3" t="s">
        <v>47</v>
      </c>
      <c r="U11" s="3" t="s">
        <v>47</v>
      </c>
      <c r="V11" s="4" t="s">
        <v>455</v>
      </c>
      <c r="W11" s="302">
        <f>'Bardon data'!G$19</f>
        <v>7.9260000000000002</v>
      </c>
      <c r="X11" s="78"/>
      <c r="Y11" s="78"/>
      <c r="Z11" s="2"/>
      <c r="AA11" s="2"/>
      <c r="AB11" s="2"/>
      <c r="AC11" s="2"/>
      <c r="AD11" s="2"/>
      <c r="AE11" s="2"/>
      <c r="AF11" s="2"/>
    </row>
    <row r="12" spans="1:35" s="34" customFormat="1" ht="110.25" x14ac:dyDescent="0.25">
      <c r="A12" s="2"/>
      <c r="B12" s="2" t="s">
        <v>139</v>
      </c>
      <c r="C12" s="21" t="s">
        <v>140</v>
      </c>
      <c r="D12" s="3">
        <v>2020</v>
      </c>
      <c r="E12" s="81" t="s">
        <v>141</v>
      </c>
      <c r="F12" s="91" t="s">
        <v>45</v>
      </c>
      <c r="G12" s="3" t="s">
        <v>46</v>
      </c>
      <c r="H12" s="7" t="s">
        <v>73</v>
      </c>
      <c r="I12" s="3" t="s">
        <v>47</v>
      </c>
      <c r="J12" s="7">
        <v>7</v>
      </c>
      <c r="K12" s="3">
        <v>300</v>
      </c>
      <c r="L12" s="3" t="s">
        <v>53</v>
      </c>
      <c r="M12" s="3" t="s">
        <v>103</v>
      </c>
      <c r="N12" s="3" t="s">
        <v>53</v>
      </c>
      <c r="O12" s="3" t="s">
        <v>74</v>
      </c>
      <c r="P12" s="3" t="s">
        <v>88</v>
      </c>
      <c r="Q12" s="3" t="s">
        <v>50</v>
      </c>
      <c r="R12" s="3" t="s">
        <v>47</v>
      </c>
      <c r="S12" s="3" t="s">
        <v>72</v>
      </c>
      <c r="T12" s="3" t="s">
        <v>47</v>
      </c>
      <c r="U12" s="3" t="s">
        <v>47</v>
      </c>
      <c r="V12" s="4" t="s">
        <v>455</v>
      </c>
      <c r="W12" s="302">
        <f>'Bardon data'!H$19</f>
        <v>10.045</v>
      </c>
      <c r="X12" s="78"/>
      <c r="Y12" s="78"/>
      <c r="Z12" s="2"/>
      <c r="AA12" s="2"/>
      <c r="AB12" s="2"/>
      <c r="AC12" s="2"/>
      <c r="AD12" s="2"/>
      <c r="AE12" s="2"/>
      <c r="AF12" s="2"/>
    </row>
    <row r="13" spans="1:35" s="34" customFormat="1" ht="110.25" x14ac:dyDescent="0.25">
      <c r="A13" s="2"/>
      <c r="B13" s="2" t="s">
        <v>139</v>
      </c>
      <c r="C13" s="21" t="s">
        <v>140</v>
      </c>
      <c r="D13" s="3">
        <v>2020</v>
      </c>
      <c r="E13" s="81" t="s">
        <v>141</v>
      </c>
      <c r="F13" s="91" t="s">
        <v>45</v>
      </c>
      <c r="G13" s="3" t="s">
        <v>46</v>
      </c>
      <c r="H13" s="7" t="s">
        <v>73</v>
      </c>
      <c r="I13" s="3" t="s">
        <v>47</v>
      </c>
      <c r="J13" s="7">
        <v>6</v>
      </c>
      <c r="K13" s="3">
        <v>300</v>
      </c>
      <c r="L13" s="3" t="s">
        <v>53</v>
      </c>
      <c r="M13" s="3" t="s">
        <v>103</v>
      </c>
      <c r="N13" s="3" t="s">
        <v>53</v>
      </c>
      <c r="O13" s="3" t="s">
        <v>74</v>
      </c>
      <c r="P13" s="3" t="s">
        <v>88</v>
      </c>
      <c r="Q13" s="3" t="s">
        <v>50</v>
      </c>
      <c r="R13" s="3" t="s">
        <v>47</v>
      </c>
      <c r="S13" s="3" t="s">
        <v>72</v>
      </c>
      <c r="T13" s="3" t="s">
        <v>47</v>
      </c>
      <c r="U13" s="3" t="s">
        <v>47</v>
      </c>
      <c r="V13" s="4" t="s">
        <v>455</v>
      </c>
      <c r="W13" s="302">
        <f>'Bardon data'!I$19</f>
        <v>12.374000000000001</v>
      </c>
      <c r="X13" s="78"/>
      <c r="Y13" s="78"/>
      <c r="Z13" s="2"/>
      <c r="AA13" s="2"/>
      <c r="AB13" s="2"/>
      <c r="AC13" s="2"/>
      <c r="AD13" s="2"/>
      <c r="AE13" s="2"/>
      <c r="AF13" s="2"/>
    </row>
    <row r="14" spans="1:35" s="34" customFormat="1" ht="110.25" x14ac:dyDescent="0.25">
      <c r="A14" s="2"/>
      <c r="B14" s="2" t="s">
        <v>139</v>
      </c>
      <c r="C14" s="21" t="s">
        <v>140</v>
      </c>
      <c r="D14" s="3">
        <v>2020</v>
      </c>
      <c r="E14" s="81" t="s">
        <v>141</v>
      </c>
      <c r="F14" s="91" t="s">
        <v>45</v>
      </c>
      <c r="G14" s="3" t="s">
        <v>46</v>
      </c>
      <c r="H14" s="7" t="s">
        <v>73</v>
      </c>
      <c r="I14" s="3" t="s">
        <v>47</v>
      </c>
      <c r="J14" s="7">
        <v>5</v>
      </c>
      <c r="K14" s="3">
        <v>300</v>
      </c>
      <c r="L14" s="3" t="s">
        <v>53</v>
      </c>
      <c r="M14" s="3" t="s">
        <v>103</v>
      </c>
      <c r="N14" s="3" t="s">
        <v>53</v>
      </c>
      <c r="O14" s="3" t="s">
        <v>74</v>
      </c>
      <c r="P14" s="3" t="s">
        <v>88</v>
      </c>
      <c r="Q14" s="3" t="s">
        <v>50</v>
      </c>
      <c r="R14" s="3" t="s">
        <v>47</v>
      </c>
      <c r="S14" s="3" t="s">
        <v>72</v>
      </c>
      <c r="T14" s="3" t="s">
        <v>47</v>
      </c>
      <c r="U14" s="3" t="s">
        <v>47</v>
      </c>
      <c r="V14" s="4" t="s">
        <v>455</v>
      </c>
      <c r="W14" s="302">
        <f>'Bardon data'!J$19</f>
        <v>12.611000000000001</v>
      </c>
      <c r="X14" s="78"/>
      <c r="Y14" s="78"/>
      <c r="Z14" s="2"/>
      <c r="AA14" s="2"/>
      <c r="AB14" s="2"/>
      <c r="AC14" s="2"/>
      <c r="AD14" s="2"/>
      <c r="AE14" s="2"/>
      <c r="AF14" s="2"/>
    </row>
    <row r="15" spans="1:35" s="34" customFormat="1" ht="110.25" x14ac:dyDescent="0.25">
      <c r="A15" s="2"/>
      <c r="B15" s="2" t="s">
        <v>139</v>
      </c>
      <c r="C15" s="3" t="s">
        <v>140</v>
      </c>
      <c r="D15" s="3">
        <v>2020</v>
      </c>
      <c r="E15" s="81" t="s">
        <v>141</v>
      </c>
      <c r="F15" s="3" t="s">
        <v>45</v>
      </c>
      <c r="G15" s="7" t="s">
        <v>46</v>
      </c>
      <c r="H15" s="7" t="s">
        <v>73</v>
      </c>
      <c r="I15" s="7" t="s">
        <v>47</v>
      </c>
      <c r="J15" s="7">
        <v>3</v>
      </c>
      <c r="K15" s="3">
        <v>300</v>
      </c>
      <c r="L15" s="3" t="s">
        <v>53</v>
      </c>
      <c r="M15" s="3" t="s">
        <v>103</v>
      </c>
      <c r="N15" s="3" t="s">
        <v>53</v>
      </c>
      <c r="O15" s="3" t="s">
        <v>74</v>
      </c>
      <c r="P15" s="3" t="s">
        <v>88</v>
      </c>
      <c r="Q15" s="3" t="s">
        <v>50</v>
      </c>
      <c r="R15" s="7" t="s">
        <v>47</v>
      </c>
      <c r="S15" s="3" t="s">
        <v>72</v>
      </c>
      <c r="T15" s="3" t="s">
        <v>47</v>
      </c>
      <c r="U15" s="3" t="s">
        <v>47</v>
      </c>
      <c r="V15" s="4" t="s">
        <v>455</v>
      </c>
      <c r="W15" s="302">
        <f>'Bardon data'!K$19</f>
        <v>14.41</v>
      </c>
      <c r="X15" s="2"/>
      <c r="Y15" s="2"/>
      <c r="Z15" s="2"/>
      <c r="AA15" s="2"/>
      <c r="AB15" s="2"/>
      <c r="AC15" s="2"/>
      <c r="AD15" s="2"/>
      <c r="AE15" s="2"/>
      <c r="AF15" s="2"/>
    </row>
    <row r="16" spans="1:35" s="34" customFormat="1" ht="126" x14ac:dyDescent="0.25">
      <c r="A16" s="2"/>
      <c r="B16" s="2" t="s">
        <v>84</v>
      </c>
      <c r="C16" s="3" t="s">
        <v>85</v>
      </c>
      <c r="D16" s="3">
        <v>2012</v>
      </c>
      <c r="E16" s="81" t="s">
        <v>86</v>
      </c>
      <c r="F16" s="3" t="s">
        <v>45</v>
      </c>
      <c r="G16" s="3" t="s">
        <v>46</v>
      </c>
      <c r="H16" s="3" t="s">
        <v>47</v>
      </c>
      <c r="I16" s="7" t="s">
        <v>456</v>
      </c>
      <c r="J16" s="3">
        <v>350</v>
      </c>
      <c r="K16" s="3">
        <v>200</v>
      </c>
      <c r="L16" s="3" t="s">
        <v>47</v>
      </c>
      <c r="M16" s="3" t="s">
        <v>47</v>
      </c>
      <c r="N16" s="3" t="s">
        <v>47</v>
      </c>
      <c r="O16" s="3" t="s">
        <v>87</v>
      </c>
      <c r="P16" s="3" t="s">
        <v>88</v>
      </c>
      <c r="Q16" s="3" t="s">
        <v>61</v>
      </c>
      <c r="R16" s="3" t="s">
        <v>47</v>
      </c>
      <c r="S16" s="3" t="s">
        <v>457</v>
      </c>
      <c r="T16" s="3" t="s">
        <v>362</v>
      </c>
      <c r="U16" s="3" t="s">
        <v>73</v>
      </c>
      <c r="V16" s="4" t="s">
        <v>458</v>
      </c>
      <c r="W16" s="303">
        <f>'Boyd data'!C21</f>
        <v>107.44897959183675</v>
      </c>
      <c r="X16" s="2"/>
      <c r="Y16" s="2"/>
      <c r="Z16" s="2"/>
      <c r="AA16" s="2"/>
      <c r="AB16" s="2"/>
      <c r="AC16" s="2"/>
      <c r="AD16" s="2"/>
      <c r="AE16" s="2"/>
      <c r="AF16" s="2"/>
    </row>
    <row r="17" spans="1:32" s="34" customFormat="1" ht="126" x14ac:dyDescent="0.25">
      <c r="A17" s="2"/>
      <c r="B17" s="2" t="s">
        <v>84</v>
      </c>
      <c r="C17" s="3" t="s">
        <v>85</v>
      </c>
      <c r="D17" s="3">
        <v>2012</v>
      </c>
      <c r="E17" s="81" t="s">
        <v>91</v>
      </c>
      <c r="F17" s="3" t="s">
        <v>45</v>
      </c>
      <c r="G17" s="3" t="s">
        <v>46</v>
      </c>
      <c r="H17" s="3" t="s">
        <v>47</v>
      </c>
      <c r="I17" s="7" t="s">
        <v>456</v>
      </c>
      <c r="J17" s="3">
        <v>250</v>
      </c>
      <c r="K17" s="3">
        <v>200</v>
      </c>
      <c r="L17" s="3" t="s">
        <v>47</v>
      </c>
      <c r="M17" s="3" t="s">
        <v>47</v>
      </c>
      <c r="N17" s="3" t="s">
        <v>47</v>
      </c>
      <c r="O17" s="3" t="s">
        <v>87</v>
      </c>
      <c r="P17" s="3" t="s">
        <v>88</v>
      </c>
      <c r="Q17" s="3" t="s">
        <v>61</v>
      </c>
      <c r="R17" s="3" t="s">
        <v>47</v>
      </c>
      <c r="S17" s="3" t="s">
        <v>457</v>
      </c>
      <c r="T17" s="3" t="s">
        <v>362</v>
      </c>
      <c r="U17" s="3" t="s">
        <v>73</v>
      </c>
      <c r="V17" s="4" t="s">
        <v>458</v>
      </c>
      <c r="W17" s="303">
        <f>'Boyd data'!D21</f>
        <v>60.466666666666661</v>
      </c>
      <c r="X17" s="2"/>
      <c r="Y17" s="2"/>
      <c r="Z17" s="2"/>
      <c r="AA17" s="2"/>
      <c r="AB17" s="2"/>
      <c r="AC17" s="2"/>
      <c r="AD17" s="2"/>
      <c r="AE17" s="2"/>
      <c r="AF17" s="2"/>
    </row>
    <row r="18" spans="1:32" s="34" customFormat="1" ht="126" x14ac:dyDescent="0.25">
      <c r="A18" s="2"/>
      <c r="B18" s="2" t="s">
        <v>84</v>
      </c>
      <c r="C18" s="3" t="s">
        <v>85</v>
      </c>
      <c r="D18" s="3">
        <v>2012</v>
      </c>
      <c r="E18" s="81" t="s">
        <v>92</v>
      </c>
      <c r="F18" s="3" t="s">
        <v>45</v>
      </c>
      <c r="G18" s="3" t="s">
        <v>46</v>
      </c>
      <c r="H18" s="3" t="s">
        <v>47</v>
      </c>
      <c r="I18" s="7" t="s">
        <v>456</v>
      </c>
      <c r="J18" s="3">
        <v>180</v>
      </c>
      <c r="K18" s="3">
        <v>300</v>
      </c>
      <c r="L18" s="3" t="s">
        <v>47</v>
      </c>
      <c r="M18" s="3" t="s">
        <v>47</v>
      </c>
      <c r="N18" s="3" t="s">
        <v>47</v>
      </c>
      <c r="O18" s="3" t="s">
        <v>87</v>
      </c>
      <c r="P18" s="3" t="s">
        <v>88</v>
      </c>
      <c r="Q18" s="3" t="s">
        <v>61</v>
      </c>
      <c r="R18" s="3" t="s">
        <v>47</v>
      </c>
      <c r="S18" s="3" t="s">
        <v>457</v>
      </c>
      <c r="T18" s="3" t="s">
        <v>362</v>
      </c>
      <c r="U18" s="3" t="s">
        <v>73</v>
      </c>
      <c r="V18" s="4" t="s">
        <v>458</v>
      </c>
      <c r="W18" s="303">
        <f>'Boyd data'!E21</f>
        <v>79.599999999999994</v>
      </c>
      <c r="X18" s="2"/>
      <c r="Y18" s="2"/>
      <c r="Z18" s="2"/>
      <c r="AA18" s="2"/>
      <c r="AB18" s="2"/>
      <c r="AC18" s="2"/>
      <c r="AD18" s="2"/>
      <c r="AE18" s="2"/>
      <c r="AF18" s="2"/>
    </row>
    <row r="19" spans="1:32" s="34" customFormat="1" ht="126" x14ac:dyDescent="0.25">
      <c r="A19" s="2"/>
      <c r="B19" s="2" t="s">
        <v>84</v>
      </c>
      <c r="C19" s="3" t="s">
        <v>85</v>
      </c>
      <c r="D19" s="3">
        <v>2012</v>
      </c>
      <c r="E19" s="81" t="s">
        <v>93</v>
      </c>
      <c r="F19" s="3" t="s">
        <v>45</v>
      </c>
      <c r="G19" s="3" t="s">
        <v>46</v>
      </c>
      <c r="H19" s="3" t="s">
        <v>47</v>
      </c>
      <c r="I19" s="7" t="s">
        <v>456</v>
      </c>
      <c r="J19" s="3">
        <v>130</v>
      </c>
      <c r="K19" s="3">
        <v>300</v>
      </c>
      <c r="L19" s="3" t="s">
        <v>47</v>
      </c>
      <c r="M19" s="3" t="s">
        <v>47</v>
      </c>
      <c r="N19" s="3" t="s">
        <v>47</v>
      </c>
      <c r="O19" s="3" t="s">
        <v>87</v>
      </c>
      <c r="P19" s="3" t="s">
        <v>88</v>
      </c>
      <c r="Q19" s="3" t="s">
        <v>61</v>
      </c>
      <c r="R19" s="3" t="s">
        <v>47</v>
      </c>
      <c r="S19" s="3" t="s">
        <v>457</v>
      </c>
      <c r="T19" s="3" t="s">
        <v>362</v>
      </c>
      <c r="U19" s="3" t="s">
        <v>73</v>
      </c>
      <c r="V19" s="4" t="s">
        <v>458</v>
      </c>
      <c r="W19" s="303">
        <f>'Boyd data'!F21</f>
        <v>67.142857142857153</v>
      </c>
      <c r="X19" s="2"/>
      <c r="Y19" s="2"/>
      <c r="Z19" s="2"/>
      <c r="AA19" s="2"/>
      <c r="AB19" s="2"/>
      <c r="AC19" s="2"/>
      <c r="AD19" s="2"/>
      <c r="AE19" s="2"/>
      <c r="AF19" s="2"/>
    </row>
    <row r="20" spans="1:32" s="34" customFormat="1" ht="126" x14ac:dyDescent="0.25">
      <c r="A20" s="2"/>
      <c r="B20" s="2" t="s">
        <v>84</v>
      </c>
      <c r="C20" s="3" t="s">
        <v>85</v>
      </c>
      <c r="D20" s="3">
        <v>2012</v>
      </c>
      <c r="E20" s="81" t="s">
        <v>94</v>
      </c>
      <c r="F20" s="3" t="s">
        <v>45</v>
      </c>
      <c r="G20" s="3" t="s">
        <v>46</v>
      </c>
      <c r="H20" s="3" t="s">
        <v>47</v>
      </c>
      <c r="I20" s="7" t="s">
        <v>456</v>
      </c>
      <c r="J20" s="3">
        <v>90</v>
      </c>
      <c r="K20" s="3">
        <v>300</v>
      </c>
      <c r="L20" s="3" t="s">
        <v>47</v>
      </c>
      <c r="M20" s="3" t="s">
        <v>47</v>
      </c>
      <c r="N20" s="3" t="s">
        <v>47</v>
      </c>
      <c r="O20" s="3" t="s">
        <v>87</v>
      </c>
      <c r="P20" s="3" t="s">
        <v>88</v>
      </c>
      <c r="Q20" s="3" t="s">
        <v>61</v>
      </c>
      <c r="R20" s="3" t="s">
        <v>47</v>
      </c>
      <c r="S20" s="3" t="s">
        <v>457</v>
      </c>
      <c r="T20" s="3" t="s">
        <v>362</v>
      </c>
      <c r="U20" s="3" t="s">
        <v>73</v>
      </c>
      <c r="V20" s="4" t="s">
        <v>458</v>
      </c>
      <c r="W20" s="303">
        <f>'Boyd data'!G21</f>
        <v>66.071428571428569</v>
      </c>
      <c r="X20" s="2"/>
      <c r="Y20" s="2"/>
      <c r="Z20" s="2"/>
      <c r="AA20" s="2"/>
      <c r="AB20" s="2"/>
      <c r="AC20" s="2"/>
      <c r="AD20" s="2"/>
      <c r="AE20" s="2"/>
      <c r="AF20" s="2"/>
    </row>
    <row r="21" spans="1:32" s="34" customFormat="1" ht="126" x14ac:dyDescent="0.25">
      <c r="A21" s="2"/>
      <c r="B21" s="2" t="s">
        <v>84</v>
      </c>
      <c r="C21" s="3" t="s">
        <v>85</v>
      </c>
      <c r="D21" s="3">
        <v>2012</v>
      </c>
      <c r="E21" s="81" t="s">
        <v>95</v>
      </c>
      <c r="F21" s="3" t="s">
        <v>45</v>
      </c>
      <c r="G21" s="3" t="s">
        <v>46</v>
      </c>
      <c r="H21" s="3" t="s">
        <v>47</v>
      </c>
      <c r="I21" s="7" t="s">
        <v>456</v>
      </c>
      <c r="J21" s="3">
        <v>65</v>
      </c>
      <c r="K21" s="3">
        <v>300</v>
      </c>
      <c r="L21" s="3" t="s">
        <v>47</v>
      </c>
      <c r="M21" s="3" t="s">
        <v>47</v>
      </c>
      <c r="N21" s="3" t="s">
        <v>47</v>
      </c>
      <c r="O21" s="3" t="s">
        <v>87</v>
      </c>
      <c r="P21" s="3" t="s">
        <v>88</v>
      </c>
      <c r="Q21" s="3" t="s">
        <v>61</v>
      </c>
      <c r="R21" s="3" t="s">
        <v>47</v>
      </c>
      <c r="S21" s="3" t="s">
        <v>457</v>
      </c>
      <c r="T21" s="3" t="s">
        <v>362</v>
      </c>
      <c r="U21" s="3" t="s">
        <v>73</v>
      </c>
      <c r="V21" s="4" t="s">
        <v>458</v>
      </c>
      <c r="W21" s="303">
        <f>'Boyd data'!H21</f>
        <v>56.214285714285708</v>
      </c>
      <c r="X21" s="2"/>
      <c r="Y21" s="2"/>
      <c r="Z21" s="2"/>
      <c r="AA21" s="2"/>
      <c r="AB21" s="2"/>
      <c r="AC21" s="2"/>
      <c r="AD21" s="2"/>
      <c r="AE21" s="2"/>
      <c r="AF21" s="2"/>
    </row>
    <row r="22" spans="1:32" s="34" customFormat="1" ht="126" x14ac:dyDescent="0.25">
      <c r="A22" s="2"/>
      <c r="B22" s="2" t="s">
        <v>84</v>
      </c>
      <c r="C22" s="3" t="s">
        <v>85</v>
      </c>
      <c r="D22" s="3">
        <v>2012</v>
      </c>
      <c r="E22" s="81" t="s">
        <v>96</v>
      </c>
      <c r="F22" s="3" t="s">
        <v>45</v>
      </c>
      <c r="G22" s="3" t="s">
        <v>46</v>
      </c>
      <c r="H22" s="3" t="s">
        <v>47</v>
      </c>
      <c r="I22" s="7" t="s">
        <v>456</v>
      </c>
      <c r="J22" s="3">
        <v>45</v>
      </c>
      <c r="K22" s="3">
        <v>300</v>
      </c>
      <c r="L22" s="3" t="s">
        <v>47</v>
      </c>
      <c r="M22" s="3" t="s">
        <v>47</v>
      </c>
      <c r="N22" s="3" t="s">
        <v>47</v>
      </c>
      <c r="O22" s="3" t="s">
        <v>87</v>
      </c>
      <c r="P22" s="3" t="s">
        <v>88</v>
      </c>
      <c r="Q22" s="3" t="s">
        <v>61</v>
      </c>
      <c r="R22" s="3" t="s">
        <v>47</v>
      </c>
      <c r="S22" s="3" t="s">
        <v>457</v>
      </c>
      <c r="T22" s="3" t="s">
        <v>362</v>
      </c>
      <c r="U22" s="3" t="s">
        <v>73</v>
      </c>
      <c r="V22" s="4" t="s">
        <v>458</v>
      </c>
      <c r="W22" s="303">
        <f>'Boyd data'!I21</f>
        <v>46.571428571428569</v>
      </c>
      <c r="X22" s="2"/>
      <c r="Y22" s="2"/>
      <c r="Z22" s="2"/>
      <c r="AA22" s="2"/>
      <c r="AB22" s="2"/>
      <c r="AC22" s="2"/>
      <c r="AD22" s="2"/>
      <c r="AE22" s="2"/>
      <c r="AF22" s="2"/>
    </row>
    <row r="23" spans="1:32" s="34" customFormat="1" ht="126" x14ac:dyDescent="0.25">
      <c r="A23" s="2"/>
      <c r="B23" s="2" t="s">
        <v>84</v>
      </c>
      <c r="C23" s="3" t="s">
        <v>85</v>
      </c>
      <c r="D23" s="3">
        <v>2012</v>
      </c>
      <c r="E23" s="81" t="s">
        <v>97</v>
      </c>
      <c r="F23" s="3" t="s">
        <v>45</v>
      </c>
      <c r="G23" s="3" t="s">
        <v>46</v>
      </c>
      <c r="H23" s="3" t="s">
        <v>47</v>
      </c>
      <c r="I23" s="7" t="s">
        <v>456</v>
      </c>
      <c r="J23" s="3">
        <v>32</v>
      </c>
      <c r="K23" s="3">
        <v>300</v>
      </c>
      <c r="L23" s="3" t="s">
        <v>47</v>
      </c>
      <c r="M23" s="3" t="s">
        <v>47</v>
      </c>
      <c r="N23" s="3" t="s">
        <v>47</v>
      </c>
      <c r="O23" s="3" t="s">
        <v>87</v>
      </c>
      <c r="P23" s="3" t="s">
        <v>88</v>
      </c>
      <c r="Q23" s="3" t="s">
        <v>61</v>
      </c>
      <c r="R23" s="3" t="s">
        <v>47</v>
      </c>
      <c r="S23" s="3" t="s">
        <v>457</v>
      </c>
      <c r="T23" s="3" t="s">
        <v>362</v>
      </c>
      <c r="U23" s="3" t="s">
        <v>73</v>
      </c>
      <c r="V23" s="4" t="s">
        <v>458</v>
      </c>
      <c r="W23" s="303">
        <f>'Boyd data'!J21</f>
        <v>47.357142857142868</v>
      </c>
      <c r="X23" s="2"/>
      <c r="Y23" s="2"/>
      <c r="Z23" s="2"/>
      <c r="AA23" s="2"/>
      <c r="AB23" s="2"/>
      <c r="AC23" s="2"/>
      <c r="AD23" s="2"/>
      <c r="AE23" s="2"/>
      <c r="AF23" s="2"/>
    </row>
    <row r="24" spans="1:32" s="34" customFormat="1" ht="126" x14ac:dyDescent="0.25">
      <c r="A24" s="2"/>
      <c r="B24" s="2" t="s">
        <v>382</v>
      </c>
      <c r="C24" s="7" t="s">
        <v>383</v>
      </c>
      <c r="D24" s="3">
        <v>2013</v>
      </c>
      <c r="E24" s="352" t="s">
        <v>459</v>
      </c>
      <c r="F24" s="3" t="s">
        <v>45</v>
      </c>
      <c r="G24" s="7" t="s">
        <v>460</v>
      </c>
      <c r="H24" s="7" t="s">
        <v>47</v>
      </c>
      <c r="I24" s="7" t="s">
        <v>53</v>
      </c>
      <c r="J24" s="7">
        <v>45</v>
      </c>
      <c r="K24" s="7">
        <v>300</v>
      </c>
      <c r="L24" s="3" t="s">
        <v>73</v>
      </c>
      <c r="M24" s="3" t="s">
        <v>74</v>
      </c>
      <c r="N24" s="3" t="s">
        <v>124</v>
      </c>
      <c r="O24" s="3" t="s">
        <v>74</v>
      </c>
      <c r="P24" s="3" t="s">
        <v>173</v>
      </c>
      <c r="Q24" s="3" t="s">
        <v>453</v>
      </c>
      <c r="R24" s="7" t="s">
        <v>461</v>
      </c>
      <c r="S24" s="3" t="s">
        <v>457</v>
      </c>
      <c r="T24" s="3" t="s">
        <v>53</v>
      </c>
      <c r="U24" s="3" t="s">
        <v>47</v>
      </c>
      <c r="V24" s="4" t="s">
        <v>462</v>
      </c>
      <c r="W24" s="303">
        <f>'Prakash data'!K12</f>
        <v>7.88</v>
      </c>
      <c r="X24" s="2"/>
      <c r="Y24" s="2"/>
      <c r="Z24" s="2"/>
      <c r="AA24" s="2"/>
      <c r="AB24" s="2"/>
      <c r="AC24" s="2"/>
      <c r="AD24" s="2"/>
      <c r="AE24" s="2"/>
      <c r="AF24" s="2"/>
    </row>
    <row r="25" spans="1:32" s="344" customFormat="1" x14ac:dyDescent="0.25">
      <c r="A25" s="327"/>
      <c r="B25" s="327"/>
      <c r="C25" s="359"/>
      <c r="D25" s="359"/>
      <c r="F25" s="359"/>
      <c r="G25" s="359"/>
      <c r="H25" s="359"/>
      <c r="I25" s="359"/>
      <c r="J25" s="359"/>
      <c r="K25" s="359"/>
      <c r="L25" s="359"/>
      <c r="M25" s="359"/>
      <c r="N25" s="359"/>
      <c r="O25" s="359"/>
      <c r="P25" s="359"/>
      <c r="Q25" s="359"/>
      <c r="R25" s="359"/>
      <c r="S25" s="359"/>
      <c r="T25" s="359"/>
      <c r="U25" s="359"/>
      <c r="V25" s="330"/>
      <c r="W25" s="338"/>
      <c r="X25" s="327"/>
      <c r="Y25" s="327"/>
      <c r="Z25" s="327"/>
      <c r="AA25" s="327"/>
      <c r="AB25" s="327"/>
      <c r="AC25" s="327"/>
      <c r="AD25" s="327"/>
      <c r="AE25" s="327"/>
      <c r="AF25" s="327"/>
    </row>
    <row r="26" spans="1:32" s="34" customFormat="1" ht="31.5" x14ac:dyDescent="0.25">
      <c r="A26" s="2"/>
      <c r="B26" s="6" t="s">
        <v>169</v>
      </c>
      <c r="C26" s="7" t="s">
        <v>170</v>
      </c>
      <c r="D26" s="3">
        <v>1993</v>
      </c>
      <c r="E26" s="81" t="s">
        <v>171</v>
      </c>
      <c r="F26" s="7" t="s">
        <v>51</v>
      </c>
      <c r="G26" s="7" t="s">
        <v>58</v>
      </c>
      <c r="H26" s="7" t="s">
        <v>47</v>
      </c>
      <c r="I26" s="7" t="s">
        <v>74</v>
      </c>
      <c r="J26" s="7" t="s">
        <v>58</v>
      </c>
      <c r="K26" s="7">
        <v>200</v>
      </c>
      <c r="L26" s="7" t="s">
        <v>74</v>
      </c>
      <c r="M26" s="7" t="s">
        <v>74</v>
      </c>
      <c r="N26" s="7" t="s">
        <v>74</v>
      </c>
      <c r="O26" s="7" t="s">
        <v>48</v>
      </c>
      <c r="P26" s="3" t="s">
        <v>173</v>
      </c>
      <c r="Q26" s="7" t="s">
        <v>74</v>
      </c>
      <c r="R26" s="7" t="s">
        <v>47</v>
      </c>
      <c r="S26" s="7" t="s">
        <v>53</v>
      </c>
      <c r="T26" s="7" t="s">
        <v>53</v>
      </c>
      <c r="U26" s="7" t="s">
        <v>47</v>
      </c>
      <c r="V26" s="4" t="s">
        <v>404</v>
      </c>
      <c r="W26" s="302">
        <f>'Plepys data'!AA43</f>
        <v>25.9</v>
      </c>
      <c r="X26" s="2"/>
      <c r="Y26" s="2"/>
      <c r="Z26" s="2"/>
      <c r="AA26" s="2"/>
      <c r="AB26" s="2"/>
      <c r="AC26" s="2"/>
      <c r="AD26" s="2"/>
      <c r="AE26" s="2"/>
      <c r="AF26" s="2"/>
    </row>
    <row r="27" spans="1:32" s="34" customFormat="1" ht="31.5" x14ac:dyDescent="0.25">
      <c r="A27" s="2"/>
      <c r="B27" s="6" t="s">
        <v>169</v>
      </c>
      <c r="C27" s="7" t="s">
        <v>170</v>
      </c>
      <c r="D27" s="3">
        <v>1996</v>
      </c>
      <c r="E27" s="81" t="s">
        <v>171</v>
      </c>
      <c r="F27" s="7" t="s">
        <v>51</v>
      </c>
      <c r="G27" s="7" t="s">
        <v>58</v>
      </c>
      <c r="H27" s="7" t="s">
        <v>47</v>
      </c>
      <c r="I27" s="7" t="s">
        <v>74</v>
      </c>
      <c r="J27" s="7" t="s">
        <v>58</v>
      </c>
      <c r="K27" s="7">
        <v>200</v>
      </c>
      <c r="L27" s="7" t="s">
        <v>74</v>
      </c>
      <c r="M27" s="7" t="s">
        <v>74</v>
      </c>
      <c r="N27" s="7" t="s">
        <v>74</v>
      </c>
      <c r="O27" s="7" t="s">
        <v>48</v>
      </c>
      <c r="P27" s="3" t="s">
        <v>173</v>
      </c>
      <c r="Q27" s="7" t="s">
        <v>74</v>
      </c>
      <c r="R27" s="7" t="s">
        <v>47</v>
      </c>
      <c r="S27" s="7" t="s">
        <v>53</v>
      </c>
      <c r="T27" s="7" t="s">
        <v>53</v>
      </c>
      <c r="U27" s="7" t="s">
        <v>47</v>
      </c>
      <c r="V27" s="4" t="s">
        <v>404</v>
      </c>
      <c r="W27" s="302">
        <f>'Plepys data'!AA44</f>
        <v>6.2</v>
      </c>
      <c r="X27" s="2"/>
      <c r="Y27" s="2"/>
      <c r="Z27" s="2"/>
      <c r="AA27" s="2"/>
      <c r="AB27" s="2"/>
      <c r="AC27" s="2"/>
      <c r="AD27" s="2"/>
      <c r="AE27" s="2"/>
      <c r="AF27" s="2"/>
    </row>
    <row r="28" spans="1:32" s="34" customFormat="1" ht="31.5" x14ac:dyDescent="0.25">
      <c r="A28" s="2"/>
      <c r="B28" s="6" t="s">
        <v>169</v>
      </c>
      <c r="C28" s="7" t="s">
        <v>170</v>
      </c>
      <c r="D28" s="3">
        <v>1996</v>
      </c>
      <c r="E28" s="81" t="s">
        <v>171</v>
      </c>
      <c r="F28" s="7" t="s">
        <v>51</v>
      </c>
      <c r="G28" s="7" t="s">
        <v>58</v>
      </c>
      <c r="H28" s="7" t="s">
        <v>47</v>
      </c>
      <c r="I28" s="7" t="s">
        <v>74</v>
      </c>
      <c r="J28" s="7" t="s">
        <v>58</v>
      </c>
      <c r="K28" s="7">
        <v>200</v>
      </c>
      <c r="L28" s="7" t="s">
        <v>74</v>
      </c>
      <c r="M28" s="7" t="s">
        <v>74</v>
      </c>
      <c r="N28" s="7" t="s">
        <v>74</v>
      </c>
      <c r="O28" s="7" t="s">
        <v>48</v>
      </c>
      <c r="P28" s="3" t="s">
        <v>173</v>
      </c>
      <c r="Q28" s="7" t="s">
        <v>74</v>
      </c>
      <c r="R28" s="7" t="s">
        <v>47</v>
      </c>
      <c r="S28" s="7" t="s">
        <v>53</v>
      </c>
      <c r="T28" s="7" t="s">
        <v>53</v>
      </c>
      <c r="U28" s="3" t="s">
        <v>47</v>
      </c>
      <c r="V28" s="4" t="s">
        <v>404</v>
      </c>
      <c r="W28" s="302">
        <f>'Plepys data'!AA45</f>
        <v>27.9</v>
      </c>
      <c r="X28" s="2"/>
      <c r="Y28" s="2"/>
      <c r="Z28" s="2"/>
      <c r="AA28" s="2"/>
      <c r="AB28" s="2"/>
      <c r="AC28" s="2"/>
      <c r="AD28" s="2"/>
      <c r="AE28" s="2"/>
      <c r="AF28" s="2"/>
    </row>
    <row r="29" spans="1:32" s="34" customFormat="1" ht="31.5" x14ac:dyDescent="0.25">
      <c r="A29" s="2"/>
      <c r="B29" s="6" t="s">
        <v>169</v>
      </c>
      <c r="C29" s="7" t="s">
        <v>170</v>
      </c>
      <c r="D29" s="3">
        <v>1996</v>
      </c>
      <c r="E29" s="81" t="s">
        <v>171</v>
      </c>
      <c r="F29" s="7" t="s">
        <v>51</v>
      </c>
      <c r="G29" s="7" t="s">
        <v>58</v>
      </c>
      <c r="H29" s="7" t="s">
        <v>47</v>
      </c>
      <c r="I29" s="7" t="s">
        <v>74</v>
      </c>
      <c r="J29" s="7" t="s">
        <v>58</v>
      </c>
      <c r="K29" s="7">
        <v>200</v>
      </c>
      <c r="L29" s="7" t="s">
        <v>74</v>
      </c>
      <c r="M29" s="7" t="s">
        <v>74</v>
      </c>
      <c r="N29" s="7" t="s">
        <v>74</v>
      </c>
      <c r="O29" s="7" t="s">
        <v>48</v>
      </c>
      <c r="P29" s="3" t="s">
        <v>173</v>
      </c>
      <c r="Q29" s="7" t="s">
        <v>74</v>
      </c>
      <c r="R29" s="7" t="s">
        <v>47</v>
      </c>
      <c r="S29" s="7" t="s">
        <v>53</v>
      </c>
      <c r="T29" s="7" t="s">
        <v>53</v>
      </c>
      <c r="U29" s="3" t="s">
        <v>47</v>
      </c>
      <c r="V29" s="4" t="s">
        <v>404</v>
      </c>
      <c r="W29" s="302">
        <f>'Plepys data'!AA46</f>
        <v>18.600000000000001</v>
      </c>
      <c r="X29" s="2"/>
      <c r="Y29" s="2"/>
      <c r="Z29" s="2"/>
      <c r="AA29" s="2"/>
      <c r="AB29" s="2"/>
      <c r="AC29" s="2"/>
      <c r="AD29" s="2"/>
      <c r="AE29" s="2"/>
      <c r="AF29" s="2"/>
    </row>
    <row r="30" spans="1:32" s="34" customFormat="1" ht="31.5" x14ac:dyDescent="0.25">
      <c r="A30" s="2"/>
      <c r="B30" s="6" t="s">
        <v>169</v>
      </c>
      <c r="C30" s="7" t="s">
        <v>170</v>
      </c>
      <c r="D30" s="3">
        <v>1997</v>
      </c>
      <c r="E30" s="81" t="s">
        <v>171</v>
      </c>
      <c r="F30" s="7" t="s">
        <v>51</v>
      </c>
      <c r="G30" s="7" t="s">
        <v>58</v>
      </c>
      <c r="H30" s="7" t="s">
        <v>47</v>
      </c>
      <c r="I30" s="7" t="s">
        <v>74</v>
      </c>
      <c r="J30" s="7" t="s">
        <v>58</v>
      </c>
      <c r="K30" s="7">
        <v>200</v>
      </c>
      <c r="L30" s="7" t="s">
        <v>74</v>
      </c>
      <c r="M30" s="7" t="s">
        <v>74</v>
      </c>
      <c r="N30" s="7" t="s">
        <v>74</v>
      </c>
      <c r="O30" s="7" t="s">
        <v>48</v>
      </c>
      <c r="P30" s="3" t="s">
        <v>173</v>
      </c>
      <c r="Q30" s="7" t="s">
        <v>74</v>
      </c>
      <c r="R30" s="7" t="s">
        <v>47</v>
      </c>
      <c r="S30" s="7" t="s">
        <v>53</v>
      </c>
      <c r="T30" s="7" t="s">
        <v>53</v>
      </c>
      <c r="U30" s="3" t="s">
        <v>47</v>
      </c>
      <c r="V30" s="4" t="s">
        <v>404</v>
      </c>
      <c r="W30" s="302">
        <f>'Plepys data'!AA47</f>
        <v>5</v>
      </c>
      <c r="X30" s="2"/>
      <c r="Y30" s="2"/>
      <c r="Z30" s="2"/>
      <c r="AA30" s="2"/>
      <c r="AB30" s="2"/>
      <c r="AC30" s="2"/>
      <c r="AD30" s="2"/>
      <c r="AE30" s="2"/>
      <c r="AF30" s="2"/>
    </row>
    <row r="31" spans="1:32" s="34" customFormat="1" ht="31.5" x14ac:dyDescent="0.25">
      <c r="A31" s="2"/>
      <c r="B31" s="6" t="s">
        <v>169</v>
      </c>
      <c r="C31" s="7" t="s">
        <v>170</v>
      </c>
      <c r="D31" s="3">
        <v>1997</v>
      </c>
      <c r="E31" s="81" t="s">
        <v>171</v>
      </c>
      <c r="F31" s="7" t="s">
        <v>51</v>
      </c>
      <c r="G31" s="7" t="s">
        <v>58</v>
      </c>
      <c r="H31" s="7" t="s">
        <v>47</v>
      </c>
      <c r="I31" s="7" t="s">
        <v>74</v>
      </c>
      <c r="J31" s="7" t="s">
        <v>58</v>
      </c>
      <c r="K31" s="7">
        <v>200</v>
      </c>
      <c r="L31" s="7" t="s">
        <v>74</v>
      </c>
      <c r="M31" s="7" t="s">
        <v>74</v>
      </c>
      <c r="N31" s="7" t="s">
        <v>74</v>
      </c>
      <c r="O31" s="7" t="s">
        <v>48</v>
      </c>
      <c r="P31" s="3" t="s">
        <v>173</v>
      </c>
      <c r="Q31" s="7" t="s">
        <v>74</v>
      </c>
      <c r="R31" s="7" t="s">
        <v>47</v>
      </c>
      <c r="S31" s="7" t="s">
        <v>53</v>
      </c>
      <c r="T31" s="7" t="s">
        <v>53</v>
      </c>
      <c r="U31" s="3" t="s">
        <v>47</v>
      </c>
      <c r="V31" s="4" t="s">
        <v>404</v>
      </c>
      <c r="W31" s="302">
        <f>'Plepys data'!AA48</f>
        <v>29</v>
      </c>
      <c r="X31" s="2"/>
      <c r="Y31" s="2"/>
      <c r="Z31" s="2"/>
      <c r="AA31" s="2"/>
      <c r="AB31" s="2"/>
      <c r="AC31" s="2"/>
      <c r="AD31" s="2"/>
      <c r="AE31" s="2"/>
      <c r="AF31" s="2"/>
    </row>
    <row r="32" spans="1:32" s="34" customFormat="1" ht="31.5" x14ac:dyDescent="0.25">
      <c r="A32" s="2"/>
      <c r="B32" s="6" t="s">
        <v>169</v>
      </c>
      <c r="C32" s="7" t="s">
        <v>170</v>
      </c>
      <c r="D32" s="3">
        <v>1997</v>
      </c>
      <c r="E32" s="81" t="s">
        <v>171</v>
      </c>
      <c r="F32" s="7" t="s">
        <v>51</v>
      </c>
      <c r="G32" s="7" t="s">
        <v>58</v>
      </c>
      <c r="H32" s="7" t="s">
        <v>47</v>
      </c>
      <c r="I32" s="7" t="s">
        <v>74</v>
      </c>
      <c r="J32" s="7" t="s">
        <v>58</v>
      </c>
      <c r="K32" s="7">
        <v>200</v>
      </c>
      <c r="L32" s="7" t="s">
        <v>74</v>
      </c>
      <c r="M32" s="7" t="s">
        <v>74</v>
      </c>
      <c r="N32" s="7" t="s">
        <v>74</v>
      </c>
      <c r="O32" s="7" t="s">
        <v>48</v>
      </c>
      <c r="P32" s="3" t="s">
        <v>173</v>
      </c>
      <c r="Q32" s="7" t="s">
        <v>74</v>
      </c>
      <c r="R32" s="7" t="s">
        <v>47</v>
      </c>
      <c r="S32" s="7" t="s">
        <v>53</v>
      </c>
      <c r="T32" s="7" t="s">
        <v>53</v>
      </c>
      <c r="U32" s="3" t="s">
        <v>47</v>
      </c>
      <c r="V32" s="4" t="s">
        <v>404</v>
      </c>
      <c r="W32" s="302">
        <f>'Plepys data'!AA49</f>
        <v>12.9</v>
      </c>
      <c r="X32" s="2"/>
      <c r="Y32" s="2"/>
      <c r="Z32" s="2"/>
      <c r="AA32" s="2"/>
      <c r="AB32" s="2"/>
      <c r="AC32" s="2"/>
      <c r="AD32" s="2"/>
      <c r="AE32" s="2"/>
      <c r="AF32" s="2"/>
    </row>
    <row r="33" spans="1:32" s="34" customFormat="1" ht="31.5" x14ac:dyDescent="0.25">
      <c r="A33" s="2"/>
      <c r="B33" s="6" t="s">
        <v>169</v>
      </c>
      <c r="C33" s="7" t="s">
        <v>170</v>
      </c>
      <c r="D33" s="3">
        <v>1997</v>
      </c>
      <c r="E33" s="81" t="s">
        <v>171</v>
      </c>
      <c r="F33" s="7" t="s">
        <v>51</v>
      </c>
      <c r="G33" s="7" t="s">
        <v>58</v>
      </c>
      <c r="H33" s="7" t="s">
        <v>47</v>
      </c>
      <c r="I33" s="7" t="s">
        <v>74</v>
      </c>
      <c r="J33" s="7" t="s">
        <v>58</v>
      </c>
      <c r="K33" s="7">
        <v>200</v>
      </c>
      <c r="L33" s="7" t="s">
        <v>74</v>
      </c>
      <c r="M33" s="7" t="s">
        <v>74</v>
      </c>
      <c r="N33" s="7" t="s">
        <v>74</v>
      </c>
      <c r="O33" s="7" t="s">
        <v>48</v>
      </c>
      <c r="P33" s="3" t="s">
        <v>173</v>
      </c>
      <c r="Q33" s="7" t="s">
        <v>74</v>
      </c>
      <c r="R33" s="7" t="s">
        <v>47</v>
      </c>
      <c r="S33" s="7" t="s">
        <v>53</v>
      </c>
      <c r="T33" s="7" t="s">
        <v>53</v>
      </c>
      <c r="U33" s="3" t="s">
        <v>47</v>
      </c>
      <c r="V33" s="4" t="s">
        <v>404</v>
      </c>
      <c r="W33" s="302">
        <f>'Plepys data'!AA50</f>
        <v>17.600000000000001</v>
      </c>
      <c r="X33" s="2"/>
      <c r="Y33" s="2"/>
      <c r="Z33" s="2"/>
      <c r="AA33" s="2"/>
      <c r="AB33" s="2"/>
      <c r="AC33" s="2"/>
      <c r="AD33" s="2"/>
      <c r="AE33" s="2"/>
      <c r="AF33" s="2"/>
    </row>
    <row r="34" spans="1:32" s="34" customFormat="1" ht="31.5" x14ac:dyDescent="0.25">
      <c r="A34" s="2"/>
      <c r="B34" s="6" t="s">
        <v>169</v>
      </c>
      <c r="C34" s="7" t="s">
        <v>170</v>
      </c>
      <c r="D34" s="3">
        <v>1997</v>
      </c>
      <c r="E34" s="81" t="s">
        <v>171</v>
      </c>
      <c r="F34" s="7" t="s">
        <v>51</v>
      </c>
      <c r="G34" s="7" t="s">
        <v>58</v>
      </c>
      <c r="H34" s="7" t="s">
        <v>47</v>
      </c>
      <c r="I34" s="7" t="s">
        <v>74</v>
      </c>
      <c r="J34" s="7" t="s">
        <v>58</v>
      </c>
      <c r="K34" s="7">
        <v>200</v>
      </c>
      <c r="L34" s="7" t="s">
        <v>74</v>
      </c>
      <c r="M34" s="7" t="s">
        <v>74</v>
      </c>
      <c r="N34" s="7" t="s">
        <v>74</v>
      </c>
      <c r="O34" s="7" t="s">
        <v>48</v>
      </c>
      <c r="P34" s="3" t="s">
        <v>173</v>
      </c>
      <c r="Q34" s="7" t="s">
        <v>74</v>
      </c>
      <c r="R34" s="7" t="s">
        <v>47</v>
      </c>
      <c r="S34" s="7" t="s">
        <v>53</v>
      </c>
      <c r="T34" s="7" t="s">
        <v>53</v>
      </c>
      <c r="U34" s="3" t="s">
        <v>47</v>
      </c>
      <c r="V34" s="4" t="s">
        <v>404</v>
      </c>
      <c r="W34" s="302">
        <f>'Plepys data'!AA51</f>
        <v>17</v>
      </c>
      <c r="X34" s="2"/>
      <c r="Y34" s="2"/>
      <c r="Z34" s="2"/>
      <c r="AA34" s="2"/>
      <c r="AB34" s="2"/>
      <c r="AC34" s="2"/>
      <c r="AD34" s="2"/>
      <c r="AE34" s="2"/>
      <c r="AF34" s="2"/>
    </row>
    <row r="35" spans="1:32" s="34" customFormat="1" ht="31.5" x14ac:dyDescent="0.25">
      <c r="A35" s="2"/>
      <c r="B35" s="6" t="s">
        <v>169</v>
      </c>
      <c r="C35" s="7" t="s">
        <v>170</v>
      </c>
      <c r="D35" s="3">
        <v>1997</v>
      </c>
      <c r="E35" s="81" t="s">
        <v>171</v>
      </c>
      <c r="F35" s="7" t="s">
        <v>51</v>
      </c>
      <c r="G35" s="7" t="s">
        <v>58</v>
      </c>
      <c r="H35" s="7" t="s">
        <v>47</v>
      </c>
      <c r="I35" s="7" t="s">
        <v>74</v>
      </c>
      <c r="J35" s="7" t="s">
        <v>58</v>
      </c>
      <c r="K35" s="7">
        <v>200</v>
      </c>
      <c r="L35" s="7" t="s">
        <v>74</v>
      </c>
      <c r="M35" s="7" t="s">
        <v>74</v>
      </c>
      <c r="N35" s="7" t="s">
        <v>74</v>
      </c>
      <c r="O35" s="7" t="s">
        <v>48</v>
      </c>
      <c r="P35" s="3" t="s">
        <v>173</v>
      </c>
      <c r="Q35" s="7" t="s">
        <v>74</v>
      </c>
      <c r="R35" s="7" t="s">
        <v>47</v>
      </c>
      <c r="S35" s="7" t="s">
        <v>53</v>
      </c>
      <c r="T35" s="7" t="s">
        <v>53</v>
      </c>
      <c r="U35" s="3" t="s">
        <v>47</v>
      </c>
      <c r="V35" s="4" t="s">
        <v>404</v>
      </c>
      <c r="W35" s="302">
        <f>'Plepys data'!AA52</f>
        <v>18</v>
      </c>
      <c r="X35" s="2"/>
      <c r="Y35" s="2"/>
      <c r="Z35" s="2"/>
      <c r="AA35" s="2"/>
      <c r="AB35" s="2"/>
      <c r="AC35" s="2"/>
      <c r="AD35" s="2"/>
      <c r="AE35" s="2"/>
      <c r="AF35" s="2"/>
    </row>
    <row r="36" spans="1:32" s="34" customFormat="1" ht="31.5" x14ac:dyDescent="0.25">
      <c r="A36" s="2"/>
      <c r="B36" s="6" t="s">
        <v>169</v>
      </c>
      <c r="C36" s="7" t="s">
        <v>170</v>
      </c>
      <c r="D36" s="3">
        <v>1998</v>
      </c>
      <c r="E36" s="81" t="s">
        <v>171</v>
      </c>
      <c r="F36" s="7" t="s">
        <v>51</v>
      </c>
      <c r="G36" s="7" t="s">
        <v>58</v>
      </c>
      <c r="H36" s="7" t="s">
        <v>47</v>
      </c>
      <c r="I36" s="7" t="s">
        <v>74</v>
      </c>
      <c r="J36" s="7" t="s">
        <v>58</v>
      </c>
      <c r="K36" s="7">
        <v>200</v>
      </c>
      <c r="L36" s="7" t="s">
        <v>74</v>
      </c>
      <c r="M36" s="7" t="s">
        <v>74</v>
      </c>
      <c r="N36" s="7" t="s">
        <v>74</v>
      </c>
      <c r="O36" s="7" t="s">
        <v>65</v>
      </c>
      <c r="P36" s="3" t="s">
        <v>173</v>
      </c>
      <c r="Q36" s="7" t="s">
        <v>74</v>
      </c>
      <c r="R36" s="7" t="s">
        <v>47</v>
      </c>
      <c r="S36" s="7" t="s">
        <v>53</v>
      </c>
      <c r="T36" s="7" t="s">
        <v>53</v>
      </c>
      <c r="U36" s="3" t="s">
        <v>47</v>
      </c>
      <c r="V36" s="4" t="s">
        <v>404</v>
      </c>
      <c r="W36" s="302">
        <f>'Plepys data'!AA53</f>
        <v>19.899999999999999</v>
      </c>
      <c r="X36" s="2"/>
      <c r="Y36" s="2"/>
      <c r="Z36" s="2"/>
      <c r="AA36" s="2"/>
      <c r="AB36" s="2"/>
      <c r="AC36" s="2"/>
      <c r="AD36" s="2"/>
      <c r="AE36" s="2"/>
      <c r="AF36" s="2"/>
    </row>
    <row r="37" spans="1:32" s="34" customFormat="1" ht="31.5" x14ac:dyDescent="0.25">
      <c r="A37" s="2"/>
      <c r="B37" s="6" t="s">
        <v>169</v>
      </c>
      <c r="C37" s="7" t="s">
        <v>170</v>
      </c>
      <c r="D37" s="3">
        <v>1998</v>
      </c>
      <c r="E37" s="81" t="s">
        <v>171</v>
      </c>
      <c r="F37" s="7" t="s">
        <v>51</v>
      </c>
      <c r="G37" s="7" t="s">
        <v>58</v>
      </c>
      <c r="H37" s="7" t="s">
        <v>47</v>
      </c>
      <c r="I37" s="7" t="s">
        <v>74</v>
      </c>
      <c r="J37" s="7" t="s">
        <v>58</v>
      </c>
      <c r="K37" s="7">
        <v>150</v>
      </c>
      <c r="L37" s="7" t="s">
        <v>74</v>
      </c>
      <c r="M37" s="7" t="s">
        <v>74</v>
      </c>
      <c r="N37" s="7" t="s">
        <v>74</v>
      </c>
      <c r="O37" s="7" t="s">
        <v>48</v>
      </c>
      <c r="P37" s="3" t="s">
        <v>173</v>
      </c>
      <c r="Q37" s="7" t="s">
        <v>74</v>
      </c>
      <c r="R37" s="7" t="s">
        <v>47</v>
      </c>
      <c r="S37" s="7" t="s">
        <v>53</v>
      </c>
      <c r="T37" s="7" t="s">
        <v>53</v>
      </c>
      <c r="U37" s="3" t="s">
        <v>47</v>
      </c>
      <c r="V37" s="4" t="s">
        <v>404</v>
      </c>
      <c r="W37" s="302">
        <f>'Plepys data'!AA54</f>
        <v>5.9</v>
      </c>
      <c r="X37" s="2"/>
      <c r="Y37" s="2"/>
      <c r="Z37" s="2"/>
      <c r="AA37" s="2"/>
      <c r="AB37" s="2"/>
      <c r="AC37" s="2"/>
      <c r="AD37" s="2"/>
      <c r="AE37" s="2"/>
      <c r="AF37" s="2"/>
    </row>
    <row r="38" spans="1:32" s="34" customFormat="1" ht="31.5" x14ac:dyDescent="0.25">
      <c r="A38" s="2"/>
      <c r="B38" s="6" t="s">
        <v>169</v>
      </c>
      <c r="C38" s="7" t="s">
        <v>170</v>
      </c>
      <c r="D38" s="3">
        <v>1998</v>
      </c>
      <c r="E38" s="81" t="s">
        <v>171</v>
      </c>
      <c r="F38" s="7" t="s">
        <v>51</v>
      </c>
      <c r="G38" s="7" t="s">
        <v>58</v>
      </c>
      <c r="H38" s="7" t="s">
        <v>47</v>
      </c>
      <c r="I38" s="7" t="s">
        <v>74</v>
      </c>
      <c r="J38" s="7" t="s">
        <v>58</v>
      </c>
      <c r="K38" s="7">
        <v>150</v>
      </c>
      <c r="L38" s="7" t="s">
        <v>74</v>
      </c>
      <c r="M38" s="7" t="s">
        <v>74</v>
      </c>
      <c r="N38" s="7" t="s">
        <v>74</v>
      </c>
      <c r="O38" s="7" t="s">
        <v>48</v>
      </c>
      <c r="P38" s="3" t="s">
        <v>173</v>
      </c>
      <c r="Q38" s="7" t="s">
        <v>74</v>
      </c>
      <c r="R38" s="7" t="s">
        <v>47</v>
      </c>
      <c r="S38" s="7" t="s">
        <v>53</v>
      </c>
      <c r="T38" s="7" t="s">
        <v>53</v>
      </c>
      <c r="U38" s="3" t="s">
        <v>47</v>
      </c>
      <c r="V38" s="4" t="s">
        <v>404</v>
      </c>
      <c r="W38" s="302">
        <f>'Plepys data'!AA55</f>
        <v>14.7</v>
      </c>
      <c r="X38" s="2"/>
      <c r="Y38" s="2"/>
      <c r="Z38" s="2"/>
      <c r="AA38" s="2"/>
      <c r="AB38" s="2"/>
      <c r="AC38" s="2"/>
      <c r="AD38" s="2"/>
      <c r="AE38" s="2"/>
      <c r="AF38" s="2"/>
    </row>
    <row r="39" spans="1:32" s="34" customFormat="1" ht="31.5" x14ac:dyDescent="0.25">
      <c r="A39" s="2"/>
      <c r="B39" s="6" t="s">
        <v>169</v>
      </c>
      <c r="C39" s="7" t="s">
        <v>170</v>
      </c>
      <c r="D39" s="3">
        <v>1998</v>
      </c>
      <c r="E39" s="81" t="s">
        <v>171</v>
      </c>
      <c r="F39" s="7" t="s">
        <v>51</v>
      </c>
      <c r="G39" s="7" t="s">
        <v>58</v>
      </c>
      <c r="H39" s="7" t="s">
        <v>47</v>
      </c>
      <c r="I39" s="7" t="s">
        <v>74</v>
      </c>
      <c r="J39" s="7" t="s">
        <v>58</v>
      </c>
      <c r="K39" s="7">
        <v>150</v>
      </c>
      <c r="L39" s="7" t="s">
        <v>74</v>
      </c>
      <c r="M39" s="7" t="s">
        <v>74</v>
      </c>
      <c r="N39" s="7" t="s">
        <v>74</v>
      </c>
      <c r="O39" s="7" t="s">
        <v>48</v>
      </c>
      <c r="P39" s="3" t="s">
        <v>173</v>
      </c>
      <c r="Q39" s="7" t="s">
        <v>74</v>
      </c>
      <c r="R39" s="7" t="s">
        <v>47</v>
      </c>
      <c r="S39" s="7" t="s">
        <v>53</v>
      </c>
      <c r="T39" s="7" t="s">
        <v>53</v>
      </c>
      <c r="U39" s="3" t="s">
        <v>47</v>
      </c>
      <c r="V39" s="4" t="s">
        <v>404</v>
      </c>
      <c r="W39" s="302">
        <f>'Plepys data'!AA56</f>
        <v>20.5</v>
      </c>
      <c r="X39" s="2"/>
      <c r="Y39" s="2"/>
      <c r="Z39" s="2"/>
      <c r="AA39" s="2"/>
      <c r="AB39" s="2"/>
      <c r="AC39" s="2"/>
      <c r="AD39" s="2"/>
      <c r="AE39" s="2"/>
      <c r="AF39" s="2"/>
    </row>
    <row r="40" spans="1:32" s="34" customFormat="1" ht="31.5" x14ac:dyDescent="0.25">
      <c r="A40" s="2"/>
      <c r="B40" s="6" t="s">
        <v>169</v>
      </c>
      <c r="C40" s="7" t="s">
        <v>170</v>
      </c>
      <c r="D40" s="3">
        <v>1998</v>
      </c>
      <c r="E40" s="81" t="s">
        <v>171</v>
      </c>
      <c r="F40" s="7" t="s">
        <v>51</v>
      </c>
      <c r="G40" s="7" t="s">
        <v>58</v>
      </c>
      <c r="H40" s="7" t="s">
        <v>47</v>
      </c>
      <c r="I40" s="7" t="s">
        <v>74</v>
      </c>
      <c r="J40" s="7" t="s">
        <v>58</v>
      </c>
      <c r="K40" s="7">
        <v>150</v>
      </c>
      <c r="L40" s="7" t="s">
        <v>74</v>
      </c>
      <c r="M40" s="7" t="s">
        <v>74</v>
      </c>
      <c r="N40" s="7" t="s">
        <v>74</v>
      </c>
      <c r="O40" s="7" t="s">
        <v>48</v>
      </c>
      <c r="P40" s="3" t="s">
        <v>173</v>
      </c>
      <c r="Q40" s="7" t="s">
        <v>74</v>
      </c>
      <c r="R40" s="7" t="s">
        <v>47</v>
      </c>
      <c r="S40" s="7" t="s">
        <v>53</v>
      </c>
      <c r="T40" s="7" t="s">
        <v>53</v>
      </c>
      <c r="U40" s="3" t="s">
        <v>47</v>
      </c>
      <c r="V40" s="4" t="s">
        <v>404</v>
      </c>
      <c r="W40" s="302">
        <f>'Plepys data'!AA57</f>
        <v>5.9</v>
      </c>
      <c r="X40" s="2"/>
      <c r="Y40" s="2"/>
      <c r="Z40" s="2"/>
      <c r="AA40" s="2"/>
      <c r="AB40" s="2"/>
      <c r="AC40" s="2"/>
      <c r="AD40" s="2"/>
      <c r="AE40" s="2"/>
      <c r="AF40" s="2"/>
    </row>
    <row r="41" spans="1:32" s="34" customFormat="1" ht="31.5" x14ac:dyDescent="0.25">
      <c r="A41" s="2"/>
      <c r="B41" s="6" t="s">
        <v>169</v>
      </c>
      <c r="C41" s="7" t="s">
        <v>170</v>
      </c>
      <c r="D41" s="3">
        <v>1998</v>
      </c>
      <c r="E41" s="81" t="s">
        <v>171</v>
      </c>
      <c r="F41" s="7" t="s">
        <v>51</v>
      </c>
      <c r="G41" s="7" t="s">
        <v>58</v>
      </c>
      <c r="H41" s="7" t="s">
        <v>47</v>
      </c>
      <c r="I41" s="7" t="s">
        <v>74</v>
      </c>
      <c r="J41" s="7" t="s">
        <v>58</v>
      </c>
      <c r="K41" s="7">
        <v>150</v>
      </c>
      <c r="L41" s="7" t="s">
        <v>74</v>
      </c>
      <c r="M41" s="7" t="s">
        <v>74</v>
      </c>
      <c r="N41" s="7" t="s">
        <v>74</v>
      </c>
      <c r="O41" s="7" t="s">
        <v>48</v>
      </c>
      <c r="P41" s="3" t="s">
        <v>173</v>
      </c>
      <c r="Q41" s="7" t="s">
        <v>74</v>
      </c>
      <c r="R41" s="7" t="s">
        <v>47</v>
      </c>
      <c r="S41" s="7" t="s">
        <v>53</v>
      </c>
      <c r="T41" s="7" t="s">
        <v>53</v>
      </c>
      <c r="U41" s="3" t="s">
        <v>47</v>
      </c>
      <c r="V41" s="4" t="s">
        <v>404</v>
      </c>
      <c r="W41" s="302">
        <f>'Plepys data'!AA58</f>
        <v>8.8000000000000007</v>
      </c>
      <c r="X41" s="2"/>
      <c r="Y41" s="2"/>
      <c r="Z41" s="2"/>
      <c r="AA41" s="2"/>
      <c r="AB41" s="2"/>
      <c r="AC41" s="2"/>
      <c r="AD41" s="2"/>
      <c r="AE41" s="2"/>
      <c r="AF41" s="2"/>
    </row>
    <row r="42" spans="1:32" s="34" customFormat="1" ht="31.5" x14ac:dyDescent="0.25">
      <c r="A42" s="2"/>
      <c r="B42" s="6" t="s">
        <v>169</v>
      </c>
      <c r="C42" s="7" t="s">
        <v>170</v>
      </c>
      <c r="D42" s="3">
        <v>1998</v>
      </c>
      <c r="E42" s="81" t="s">
        <v>171</v>
      </c>
      <c r="F42" s="7" t="s">
        <v>51</v>
      </c>
      <c r="G42" s="7" t="s">
        <v>58</v>
      </c>
      <c r="H42" s="7" t="s">
        <v>47</v>
      </c>
      <c r="I42" s="7" t="s">
        <v>74</v>
      </c>
      <c r="J42" s="7" t="s">
        <v>58</v>
      </c>
      <c r="K42" s="7">
        <v>150</v>
      </c>
      <c r="L42" s="7" t="s">
        <v>74</v>
      </c>
      <c r="M42" s="7" t="s">
        <v>74</v>
      </c>
      <c r="N42" s="7" t="s">
        <v>74</v>
      </c>
      <c r="O42" s="7" t="s">
        <v>48</v>
      </c>
      <c r="P42" s="3" t="s">
        <v>173</v>
      </c>
      <c r="Q42" s="7" t="s">
        <v>74</v>
      </c>
      <c r="R42" s="7" t="s">
        <v>47</v>
      </c>
      <c r="S42" s="7" t="s">
        <v>53</v>
      </c>
      <c r="T42" s="7" t="s">
        <v>53</v>
      </c>
      <c r="U42" s="3" t="s">
        <v>47</v>
      </c>
      <c r="V42" s="4" t="s">
        <v>404</v>
      </c>
      <c r="W42" s="302">
        <f>'Plepys data'!AA59</f>
        <v>12.9</v>
      </c>
      <c r="X42" s="2"/>
      <c r="Y42" s="2"/>
      <c r="Z42" s="2"/>
      <c r="AA42" s="2"/>
      <c r="AB42" s="2"/>
      <c r="AC42" s="2"/>
      <c r="AD42" s="2"/>
      <c r="AE42" s="2"/>
      <c r="AF42" s="2"/>
    </row>
    <row r="43" spans="1:32" s="34" customFormat="1" ht="31.5" x14ac:dyDescent="0.25">
      <c r="A43" s="2"/>
      <c r="B43" s="6" t="s">
        <v>169</v>
      </c>
      <c r="C43" s="7" t="s">
        <v>170</v>
      </c>
      <c r="D43" s="3">
        <v>1998</v>
      </c>
      <c r="E43" s="81" t="s">
        <v>171</v>
      </c>
      <c r="F43" s="7" t="s">
        <v>51</v>
      </c>
      <c r="G43" s="7" t="s">
        <v>58</v>
      </c>
      <c r="H43" s="7" t="s">
        <v>47</v>
      </c>
      <c r="I43" s="7" t="s">
        <v>74</v>
      </c>
      <c r="J43" s="7" t="s">
        <v>58</v>
      </c>
      <c r="K43" s="7">
        <v>200</v>
      </c>
      <c r="L43" s="7" t="s">
        <v>74</v>
      </c>
      <c r="M43" s="7" t="s">
        <v>74</v>
      </c>
      <c r="N43" s="7" t="s">
        <v>74</v>
      </c>
      <c r="O43" s="7" t="s">
        <v>48</v>
      </c>
      <c r="P43" s="3" t="s">
        <v>173</v>
      </c>
      <c r="Q43" s="7" t="s">
        <v>74</v>
      </c>
      <c r="R43" s="7" t="s">
        <v>47</v>
      </c>
      <c r="S43" s="7" t="s">
        <v>53</v>
      </c>
      <c r="T43" s="7" t="s">
        <v>53</v>
      </c>
      <c r="U43" s="3" t="s">
        <v>47</v>
      </c>
      <c r="V43" s="4" t="s">
        <v>404</v>
      </c>
      <c r="W43" s="302">
        <f>'Plepys data'!AA60</f>
        <v>20.5</v>
      </c>
      <c r="X43" s="2"/>
      <c r="Y43" s="2"/>
      <c r="Z43" s="2"/>
      <c r="AA43" s="2"/>
      <c r="AB43" s="2"/>
      <c r="AC43" s="2"/>
      <c r="AD43" s="2"/>
      <c r="AE43" s="2"/>
      <c r="AF43" s="2"/>
    </row>
    <row r="44" spans="1:32" s="34" customFormat="1" ht="31.5" x14ac:dyDescent="0.25">
      <c r="A44" s="2"/>
      <c r="B44" s="6" t="s">
        <v>169</v>
      </c>
      <c r="C44" s="7" t="s">
        <v>170</v>
      </c>
      <c r="D44" s="3">
        <v>1998</v>
      </c>
      <c r="E44" s="81" t="s">
        <v>171</v>
      </c>
      <c r="F44" s="7" t="s">
        <v>51</v>
      </c>
      <c r="G44" s="7" t="s">
        <v>58</v>
      </c>
      <c r="H44" s="7" t="s">
        <v>47</v>
      </c>
      <c r="I44" s="7" t="s">
        <v>74</v>
      </c>
      <c r="J44" s="7" t="s">
        <v>58</v>
      </c>
      <c r="K44" s="7">
        <v>200</v>
      </c>
      <c r="L44" s="7" t="s">
        <v>74</v>
      </c>
      <c r="M44" s="7" t="s">
        <v>74</v>
      </c>
      <c r="N44" s="7" t="s">
        <v>74</v>
      </c>
      <c r="O44" s="7" t="s">
        <v>48</v>
      </c>
      <c r="P44" s="3" t="s">
        <v>173</v>
      </c>
      <c r="Q44" s="7" t="s">
        <v>74</v>
      </c>
      <c r="R44" s="7" t="s">
        <v>47</v>
      </c>
      <c r="S44" s="7" t="s">
        <v>53</v>
      </c>
      <c r="T44" s="7" t="s">
        <v>53</v>
      </c>
      <c r="U44" s="3" t="s">
        <v>47</v>
      </c>
      <c r="V44" s="4" t="s">
        <v>404</v>
      </c>
      <c r="W44" s="302">
        <f>'Plepys data'!AA61</f>
        <v>21.1</v>
      </c>
      <c r="X44" s="2"/>
      <c r="Y44" s="2"/>
      <c r="Z44" s="2"/>
      <c r="AA44" s="2"/>
      <c r="AB44" s="2"/>
      <c r="AC44" s="2"/>
      <c r="AD44" s="2"/>
      <c r="AE44" s="2"/>
      <c r="AF44" s="2"/>
    </row>
    <row r="45" spans="1:32" s="34" customFormat="1" ht="31.5" x14ac:dyDescent="0.25">
      <c r="A45" s="2"/>
      <c r="B45" s="6" t="s">
        <v>169</v>
      </c>
      <c r="C45" s="7" t="s">
        <v>170</v>
      </c>
      <c r="D45" s="3">
        <v>1998</v>
      </c>
      <c r="E45" s="81" t="s">
        <v>171</v>
      </c>
      <c r="F45" s="7" t="s">
        <v>51</v>
      </c>
      <c r="G45" s="7" t="s">
        <v>58</v>
      </c>
      <c r="H45" s="7" t="s">
        <v>47</v>
      </c>
      <c r="I45" s="7" t="s">
        <v>74</v>
      </c>
      <c r="J45" s="7" t="s">
        <v>58</v>
      </c>
      <c r="K45" s="7">
        <v>100</v>
      </c>
      <c r="L45" s="7" t="s">
        <v>74</v>
      </c>
      <c r="M45" s="7" t="s">
        <v>74</v>
      </c>
      <c r="N45" s="7" t="s">
        <v>74</v>
      </c>
      <c r="O45" s="7" t="s">
        <v>48</v>
      </c>
      <c r="P45" s="3" t="s">
        <v>173</v>
      </c>
      <c r="Q45" s="7" t="s">
        <v>74</v>
      </c>
      <c r="R45" s="7" t="s">
        <v>47</v>
      </c>
      <c r="S45" s="7" t="s">
        <v>53</v>
      </c>
      <c r="T45" s="7" t="s">
        <v>53</v>
      </c>
      <c r="U45" s="3" t="s">
        <v>47</v>
      </c>
      <c r="V45" s="4" t="s">
        <v>404</v>
      </c>
      <c r="W45" s="302">
        <f>'Plepys data'!AA62</f>
        <v>29.3</v>
      </c>
      <c r="X45" s="2"/>
      <c r="Y45" s="2"/>
      <c r="Z45" s="2"/>
      <c r="AA45" s="2"/>
      <c r="AB45" s="2"/>
      <c r="AC45" s="2"/>
      <c r="AD45" s="2"/>
      <c r="AE45" s="2"/>
      <c r="AF45" s="2"/>
    </row>
    <row r="46" spans="1:32" s="34" customFormat="1" ht="31.5" x14ac:dyDescent="0.25">
      <c r="A46" s="2"/>
      <c r="B46" s="6" t="s">
        <v>169</v>
      </c>
      <c r="C46" s="7" t="s">
        <v>170</v>
      </c>
      <c r="D46" s="3">
        <v>1998</v>
      </c>
      <c r="E46" s="81" t="s">
        <v>171</v>
      </c>
      <c r="F46" s="7" t="s">
        <v>51</v>
      </c>
      <c r="G46" s="7" t="s">
        <v>58</v>
      </c>
      <c r="H46" s="7" t="s">
        <v>47</v>
      </c>
      <c r="I46" s="7" t="s">
        <v>74</v>
      </c>
      <c r="J46" s="7" t="s">
        <v>58</v>
      </c>
      <c r="K46" s="7">
        <v>300</v>
      </c>
      <c r="L46" s="7" t="s">
        <v>74</v>
      </c>
      <c r="M46" s="7" t="s">
        <v>74</v>
      </c>
      <c r="N46" s="7" t="s">
        <v>74</v>
      </c>
      <c r="O46" s="7" t="s">
        <v>48</v>
      </c>
      <c r="P46" s="3" t="s">
        <v>173</v>
      </c>
      <c r="Q46" s="7" t="s">
        <v>74</v>
      </c>
      <c r="R46" s="7" t="s">
        <v>47</v>
      </c>
      <c r="S46" s="7" t="s">
        <v>53</v>
      </c>
      <c r="T46" s="7" t="s">
        <v>53</v>
      </c>
      <c r="U46" s="3" t="s">
        <v>47</v>
      </c>
      <c r="V46" s="4" t="s">
        <v>404</v>
      </c>
      <c r="W46" s="302">
        <f>'Plepys data'!AA63</f>
        <v>11.7</v>
      </c>
      <c r="X46" s="2"/>
      <c r="Y46" s="2"/>
      <c r="Z46" s="2"/>
      <c r="AA46" s="2"/>
      <c r="AB46" s="2"/>
      <c r="AC46" s="2"/>
      <c r="AD46" s="2"/>
      <c r="AE46" s="2"/>
      <c r="AF46" s="2"/>
    </row>
    <row r="47" spans="1:32" s="34" customFormat="1" ht="31.5" x14ac:dyDescent="0.25">
      <c r="A47" s="2"/>
      <c r="B47" s="6" t="s">
        <v>169</v>
      </c>
      <c r="C47" s="7" t="s">
        <v>170</v>
      </c>
      <c r="D47" s="3">
        <v>1998</v>
      </c>
      <c r="E47" s="81" t="s">
        <v>171</v>
      </c>
      <c r="F47" s="7" t="s">
        <v>51</v>
      </c>
      <c r="G47" s="7" t="s">
        <v>58</v>
      </c>
      <c r="H47" s="7" t="s">
        <v>47</v>
      </c>
      <c r="I47" s="7" t="s">
        <v>74</v>
      </c>
      <c r="J47" s="7" t="s">
        <v>58</v>
      </c>
      <c r="K47" s="7">
        <v>300</v>
      </c>
      <c r="L47" s="7" t="s">
        <v>74</v>
      </c>
      <c r="M47" s="7" t="s">
        <v>74</v>
      </c>
      <c r="N47" s="7" t="s">
        <v>74</v>
      </c>
      <c r="O47" s="7" t="s">
        <v>48</v>
      </c>
      <c r="P47" s="3" t="s">
        <v>173</v>
      </c>
      <c r="Q47" s="7" t="s">
        <v>74</v>
      </c>
      <c r="R47" s="7" t="s">
        <v>47</v>
      </c>
      <c r="S47" s="7" t="s">
        <v>53</v>
      </c>
      <c r="T47" s="7" t="s">
        <v>53</v>
      </c>
      <c r="U47" s="3" t="s">
        <v>47</v>
      </c>
      <c r="V47" s="4" t="s">
        <v>404</v>
      </c>
      <c r="W47" s="302">
        <f>'Plepys data'!AA64</f>
        <v>12.3</v>
      </c>
      <c r="X47" s="2"/>
      <c r="Y47" s="2"/>
      <c r="Z47" s="2"/>
      <c r="AA47" s="2"/>
      <c r="AB47" s="2"/>
      <c r="AC47" s="2"/>
      <c r="AD47" s="2"/>
      <c r="AE47" s="2"/>
      <c r="AF47" s="2"/>
    </row>
    <row r="48" spans="1:32" s="34" customFormat="1" ht="31.5" x14ac:dyDescent="0.25">
      <c r="A48" s="2"/>
      <c r="B48" s="6" t="s">
        <v>169</v>
      </c>
      <c r="C48" s="7" t="s">
        <v>170</v>
      </c>
      <c r="D48" s="3">
        <v>1998</v>
      </c>
      <c r="E48" s="81" t="s">
        <v>171</v>
      </c>
      <c r="F48" s="7" t="s">
        <v>51</v>
      </c>
      <c r="G48" s="7" t="s">
        <v>58</v>
      </c>
      <c r="H48" s="7" t="s">
        <v>47</v>
      </c>
      <c r="I48" s="7" t="s">
        <v>74</v>
      </c>
      <c r="J48" s="7" t="s">
        <v>58</v>
      </c>
      <c r="K48" s="7">
        <v>300</v>
      </c>
      <c r="L48" s="7" t="s">
        <v>74</v>
      </c>
      <c r="M48" s="7" t="s">
        <v>74</v>
      </c>
      <c r="N48" s="7" t="s">
        <v>74</v>
      </c>
      <c r="O48" s="7" t="s">
        <v>48</v>
      </c>
      <c r="P48" s="3" t="s">
        <v>173</v>
      </c>
      <c r="Q48" s="7" t="s">
        <v>74</v>
      </c>
      <c r="R48" s="7" t="s">
        <v>47</v>
      </c>
      <c r="S48" s="7" t="s">
        <v>53</v>
      </c>
      <c r="T48" s="7" t="s">
        <v>53</v>
      </c>
      <c r="U48" s="3" t="s">
        <v>47</v>
      </c>
      <c r="V48" s="4" t="s">
        <v>404</v>
      </c>
      <c r="W48" s="302">
        <f>'Plepys data'!AA65</f>
        <v>13.5</v>
      </c>
      <c r="X48" s="2"/>
      <c r="Y48" s="2"/>
      <c r="Z48" s="2"/>
      <c r="AA48" s="2"/>
      <c r="AB48" s="2"/>
      <c r="AC48" s="2"/>
      <c r="AD48" s="2"/>
      <c r="AE48" s="2"/>
      <c r="AF48" s="2"/>
    </row>
    <row r="49" spans="1:32" s="34" customFormat="1" ht="31.5" x14ac:dyDescent="0.25">
      <c r="A49" s="2"/>
      <c r="B49" s="6" t="s">
        <v>169</v>
      </c>
      <c r="C49" s="7" t="s">
        <v>170</v>
      </c>
      <c r="D49" s="3">
        <v>1998</v>
      </c>
      <c r="E49" s="81" t="s">
        <v>171</v>
      </c>
      <c r="F49" s="7" t="s">
        <v>51</v>
      </c>
      <c r="G49" s="7" t="s">
        <v>58</v>
      </c>
      <c r="H49" s="7" t="s">
        <v>47</v>
      </c>
      <c r="I49" s="7" t="s">
        <v>74</v>
      </c>
      <c r="J49" s="7" t="s">
        <v>58</v>
      </c>
      <c r="K49" s="7">
        <v>300</v>
      </c>
      <c r="L49" s="7" t="s">
        <v>74</v>
      </c>
      <c r="M49" s="7" t="s">
        <v>74</v>
      </c>
      <c r="N49" s="7" t="s">
        <v>74</v>
      </c>
      <c r="O49" s="7" t="s">
        <v>48</v>
      </c>
      <c r="P49" s="3" t="s">
        <v>173</v>
      </c>
      <c r="Q49" s="7" t="s">
        <v>74</v>
      </c>
      <c r="R49" s="7" t="s">
        <v>47</v>
      </c>
      <c r="S49" s="7" t="s">
        <v>53</v>
      </c>
      <c r="T49" s="7" t="s">
        <v>53</v>
      </c>
      <c r="U49" s="3" t="s">
        <v>47</v>
      </c>
      <c r="V49" s="4" t="s">
        <v>404</v>
      </c>
      <c r="W49" s="302">
        <f>'Plepys data'!AA66</f>
        <v>15.3</v>
      </c>
      <c r="X49" s="2"/>
      <c r="Y49" s="2"/>
      <c r="Z49" s="2"/>
      <c r="AA49" s="2"/>
      <c r="AB49" s="2"/>
      <c r="AC49" s="2"/>
      <c r="AD49" s="2"/>
      <c r="AE49" s="2"/>
      <c r="AF49" s="2"/>
    </row>
    <row r="50" spans="1:32" s="34" customFormat="1" ht="31.5" x14ac:dyDescent="0.25">
      <c r="A50" s="2"/>
      <c r="B50" s="6" t="s">
        <v>169</v>
      </c>
      <c r="C50" s="7" t="s">
        <v>170</v>
      </c>
      <c r="D50" s="3">
        <v>1998</v>
      </c>
      <c r="E50" s="81" t="s">
        <v>171</v>
      </c>
      <c r="F50" s="7" t="s">
        <v>51</v>
      </c>
      <c r="G50" s="7" t="s">
        <v>58</v>
      </c>
      <c r="H50" s="7" t="s">
        <v>47</v>
      </c>
      <c r="I50" s="7" t="s">
        <v>74</v>
      </c>
      <c r="J50" s="7" t="s">
        <v>58</v>
      </c>
      <c r="K50" s="7">
        <v>300</v>
      </c>
      <c r="L50" s="7" t="s">
        <v>74</v>
      </c>
      <c r="M50" s="7" t="s">
        <v>74</v>
      </c>
      <c r="N50" s="7" t="s">
        <v>74</v>
      </c>
      <c r="O50" s="7" t="s">
        <v>48</v>
      </c>
      <c r="P50" s="3" t="s">
        <v>173</v>
      </c>
      <c r="Q50" s="7" t="s">
        <v>74</v>
      </c>
      <c r="R50" s="7" t="s">
        <v>47</v>
      </c>
      <c r="S50" s="7" t="s">
        <v>53</v>
      </c>
      <c r="T50" s="7" t="s">
        <v>53</v>
      </c>
      <c r="U50" s="3" t="s">
        <v>47</v>
      </c>
      <c r="V50" s="4" t="s">
        <v>404</v>
      </c>
      <c r="W50" s="302">
        <f>'Plepys data'!AA67</f>
        <v>23.5</v>
      </c>
      <c r="X50" s="2"/>
      <c r="Y50" s="2"/>
      <c r="Z50" s="2"/>
      <c r="AA50" s="2"/>
      <c r="AB50" s="2"/>
      <c r="AC50" s="2"/>
      <c r="AD50" s="2"/>
      <c r="AE50" s="2"/>
      <c r="AF50" s="2"/>
    </row>
    <row r="51" spans="1:32" s="34" customFormat="1" ht="31.5" x14ac:dyDescent="0.25">
      <c r="A51" s="2"/>
      <c r="B51" s="6" t="s">
        <v>169</v>
      </c>
      <c r="C51" s="7" t="s">
        <v>170</v>
      </c>
      <c r="D51" s="3">
        <v>1998</v>
      </c>
      <c r="E51" s="81" t="s">
        <v>171</v>
      </c>
      <c r="F51" s="7" t="s">
        <v>51</v>
      </c>
      <c r="G51" s="7" t="s">
        <v>58</v>
      </c>
      <c r="H51" s="7" t="s">
        <v>47</v>
      </c>
      <c r="I51" s="7" t="s">
        <v>74</v>
      </c>
      <c r="J51" s="7" t="s">
        <v>58</v>
      </c>
      <c r="K51" s="7">
        <v>300</v>
      </c>
      <c r="L51" s="7" t="s">
        <v>74</v>
      </c>
      <c r="M51" s="7" t="s">
        <v>74</v>
      </c>
      <c r="N51" s="7" t="s">
        <v>74</v>
      </c>
      <c r="O51" s="7" t="s">
        <v>48</v>
      </c>
      <c r="P51" s="3" t="s">
        <v>173</v>
      </c>
      <c r="Q51" s="7" t="s">
        <v>74</v>
      </c>
      <c r="R51" s="7" t="s">
        <v>47</v>
      </c>
      <c r="S51" s="7" t="s">
        <v>53</v>
      </c>
      <c r="T51" s="7" t="s">
        <v>53</v>
      </c>
      <c r="U51" s="3" t="s">
        <v>47</v>
      </c>
      <c r="V51" s="4" t="s">
        <v>404</v>
      </c>
      <c r="W51" s="302">
        <f>'Plepys data'!AA68</f>
        <v>23.5</v>
      </c>
      <c r="X51" s="2"/>
      <c r="Y51" s="2"/>
      <c r="Z51" s="2"/>
      <c r="AA51" s="2"/>
      <c r="AB51" s="2"/>
      <c r="AC51" s="2"/>
      <c r="AD51" s="2"/>
      <c r="AE51" s="2"/>
      <c r="AF51" s="2"/>
    </row>
    <row r="52" spans="1:32" s="34" customFormat="1" ht="31.5" x14ac:dyDescent="0.25">
      <c r="A52" s="2"/>
      <c r="B52" s="6" t="s">
        <v>169</v>
      </c>
      <c r="C52" s="7" t="s">
        <v>170</v>
      </c>
      <c r="D52" s="3">
        <v>1999</v>
      </c>
      <c r="E52" s="81" t="s">
        <v>171</v>
      </c>
      <c r="F52" s="7" t="s">
        <v>51</v>
      </c>
      <c r="G52" s="7" t="s">
        <v>58</v>
      </c>
      <c r="H52" s="7" t="s">
        <v>47</v>
      </c>
      <c r="I52" s="7" t="s">
        <v>74</v>
      </c>
      <c r="J52" s="7" t="s">
        <v>58</v>
      </c>
      <c r="K52" s="7">
        <v>200</v>
      </c>
      <c r="L52" s="7" t="s">
        <v>74</v>
      </c>
      <c r="M52" s="7" t="s">
        <v>74</v>
      </c>
      <c r="N52" s="7" t="s">
        <v>74</v>
      </c>
      <c r="O52" s="7" t="s">
        <v>65</v>
      </c>
      <c r="P52" s="3" t="s">
        <v>173</v>
      </c>
      <c r="Q52" s="7" t="s">
        <v>74</v>
      </c>
      <c r="R52" s="7" t="s">
        <v>47</v>
      </c>
      <c r="S52" s="7" t="s">
        <v>53</v>
      </c>
      <c r="T52" s="7" t="s">
        <v>53</v>
      </c>
      <c r="U52" s="3" t="s">
        <v>47</v>
      </c>
      <c r="V52" s="4" t="s">
        <v>404</v>
      </c>
      <c r="W52" s="302">
        <f>'Plepys data'!AA69</f>
        <v>8.1</v>
      </c>
      <c r="X52" s="2"/>
      <c r="Y52" s="2"/>
      <c r="Z52" s="2"/>
      <c r="AA52" s="2"/>
      <c r="AB52" s="2"/>
      <c r="AC52" s="2"/>
      <c r="AD52" s="2"/>
      <c r="AE52" s="2"/>
      <c r="AF52" s="2"/>
    </row>
    <row r="53" spans="1:32" s="34" customFormat="1" ht="31.5" x14ac:dyDescent="0.25">
      <c r="A53" s="2"/>
      <c r="B53" s="6" t="s">
        <v>169</v>
      </c>
      <c r="C53" s="7" t="s">
        <v>170</v>
      </c>
      <c r="D53" s="3">
        <v>1999</v>
      </c>
      <c r="E53" s="81" t="s">
        <v>171</v>
      </c>
      <c r="F53" s="7" t="s">
        <v>51</v>
      </c>
      <c r="G53" s="7" t="s">
        <v>58</v>
      </c>
      <c r="H53" s="7" t="s">
        <v>47</v>
      </c>
      <c r="I53" s="7" t="s">
        <v>74</v>
      </c>
      <c r="J53" s="7" t="s">
        <v>58</v>
      </c>
      <c r="K53" s="7">
        <v>200</v>
      </c>
      <c r="L53" s="7" t="s">
        <v>74</v>
      </c>
      <c r="M53" s="7" t="s">
        <v>74</v>
      </c>
      <c r="N53" s="7" t="s">
        <v>74</v>
      </c>
      <c r="O53" s="7" t="s">
        <v>48</v>
      </c>
      <c r="P53" s="3" t="s">
        <v>173</v>
      </c>
      <c r="Q53" s="7" t="s">
        <v>74</v>
      </c>
      <c r="R53" s="7" t="s">
        <v>47</v>
      </c>
      <c r="S53" s="7" t="s">
        <v>53</v>
      </c>
      <c r="T53" s="7" t="s">
        <v>53</v>
      </c>
      <c r="U53" s="3" t="s">
        <v>47</v>
      </c>
      <c r="V53" s="4" t="s">
        <v>404</v>
      </c>
      <c r="W53" s="302">
        <f>'Plepys data'!AA70</f>
        <v>7.6</v>
      </c>
      <c r="X53" s="2"/>
      <c r="Y53" s="2"/>
      <c r="Z53" s="2"/>
      <c r="AA53" s="2"/>
      <c r="AB53" s="2"/>
      <c r="AC53" s="2"/>
      <c r="AD53" s="2"/>
      <c r="AE53" s="2"/>
      <c r="AF53" s="2"/>
    </row>
    <row r="54" spans="1:32" s="34" customFormat="1" ht="31.5" x14ac:dyDescent="0.25">
      <c r="A54" s="2"/>
      <c r="B54" s="6" t="s">
        <v>169</v>
      </c>
      <c r="C54" s="7" t="s">
        <v>170</v>
      </c>
      <c r="D54" s="3">
        <v>1999</v>
      </c>
      <c r="E54" s="81" t="s">
        <v>171</v>
      </c>
      <c r="F54" s="7" t="s">
        <v>51</v>
      </c>
      <c r="G54" s="7" t="s">
        <v>58</v>
      </c>
      <c r="H54" s="7" t="s">
        <v>47</v>
      </c>
      <c r="I54" s="7" t="s">
        <v>74</v>
      </c>
      <c r="J54" s="7" t="s">
        <v>58</v>
      </c>
      <c r="K54" s="7">
        <v>200</v>
      </c>
      <c r="L54" s="7" t="s">
        <v>74</v>
      </c>
      <c r="M54" s="7" t="s">
        <v>74</v>
      </c>
      <c r="N54" s="7" t="s">
        <v>74</v>
      </c>
      <c r="O54" s="7" t="s">
        <v>48</v>
      </c>
      <c r="P54" s="3" t="s">
        <v>173</v>
      </c>
      <c r="Q54" s="7" t="s">
        <v>74</v>
      </c>
      <c r="R54" s="7" t="s">
        <v>47</v>
      </c>
      <c r="S54" s="7" t="s">
        <v>53</v>
      </c>
      <c r="T54" s="7" t="s">
        <v>53</v>
      </c>
      <c r="U54" s="3" t="s">
        <v>47</v>
      </c>
      <c r="V54" s="4" t="s">
        <v>404</v>
      </c>
      <c r="W54" s="302">
        <f>'Plepys data'!AA71</f>
        <v>13.5</v>
      </c>
      <c r="X54" s="2"/>
      <c r="Y54" s="2"/>
      <c r="Z54" s="2"/>
      <c r="AA54" s="2"/>
      <c r="AB54" s="2"/>
      <c r="AC54" s="2"/>
      <c r="AD54" s="2"/>
      <c r="AE54" s="2"/>
      <c r="AF54" s="2"/>
    </row>
    <row r="55" spans="1:32" s="34" customFormat="1" ht="31.5" x14ac:dyDescent="0.25">
      <c r="A55" s="2"/>
      <c r="B55" s="6" t="s">
        <v>169</v>
      </c>
      <c r="C55" s="7" t="s">
        <v>170</v>
      </c>
      <c r="D55" s="3">
        <v>2000</v>
      </c>
      <c r="E55" s="81" t="s">
        <v>171</v>
      </c>
      <c r="F55" s="7" t="s">
        <v>51</v>
      </c>
      <c r="G55" s="7" t="s">
        <v>58</v>
      </c>
      <c r="H55" s="7" t="s">
        <v>47</v>
      </c>
      <c r="I55" s="7" t="s">
        <v>74</v>
      </c>
      <c r="J55" s="7" t="s">
        <v>58</v>
      </c>
      <c r="K55" s="7">
        <v>200</v>
      </c>
      <c r="L55" s="7" t="s">
        <v>74</v>
      </c>
      <c r="M55" s="7" t="s">
        <v>74</v>
      </c>
      <c r="N55" s="7" t="s">
        <v>74</v>
      </c>
      <c r="O55" s="7" t="s">
        <v>65</v>
      </c>
      <c r="P55" s="3" t="s">
        <v>173</v>
      </c>
      <c r="Q55" s="7" t="s">
        <v>74</v>
      </c>
      <c r="R55" s="7" t="s">
        <v>47</v>
      </c>
      <c r="S55" s="7" t="s">
        <v>53</v>
      </c>
      <c r="T55" s="7" t="s">
        <v>53</v>
      </c>
      <c r="U55" s="3" t="s">
        <v>47</v>
      </c>
      <c r="V55" s="4" t="s">
        <v>404</v>
      </c>
      <c r="W55" s="302">
        <f>'Plepys data'!AA72</f>
        <v>7.6</v>
      </c>
      <c r="X55" s="2"/>
      <c r="Y55" s="2"/>
      <c r="Z55" s="2"/>
      <c r="AA55" s="2"/>
      <c r="AB55" s="2"/>
      <c r="AC55" s="2"/>
      <c r="AD55" s="2"/>
      <c r="AE55" s="2"/>
      <c r="AF55" s="2"/>
    </row>
    <row r="56" spans="1:32" s="34" customFormat="1" ht="31.5" x14ac:dyDescent="0.25">
      <c r="A56" s="2"/>
      <c r="B56" s="6" t="s">
        <v>169</v>
      </c>
      <c r="C56" s="7" t="s">
        <v>170</v>
      </c>
      <c r="D56" s="3">
        <v>2000</v>
      </c>
      <c r="E56" s="81" t="s">
        <v>171</v>
      </c>
      <c r="F56" s="7" t="s">
        <v>51</v>
      </c>
      <c r="G56" s="7" t="s">
        <v>58</v>
      </c>
      <c r="H56" s="7" t="s">
        <v>47</v>
      </c>
      <c r="I56" s="7" t="s">
        <v>74</v>
      </c>
      <c r="J56" s="7" t="s">
        <v>58</v>
      </c>
      <c r="K56" s="7">
        <v>200</v>
      </c>
      <c r="L56" s="7" t="s">
        <v>74</v>
      </c>
      <c r="M56" s="7" t="s">
        <v>74</v>
      </c>
      <c r="N56" s="7" t="s">
        <v>74</v>
      </c>
      <c r="O56" s="7" t="s">
        <v>48</v>
      </c>
      <c r="P56" s="3" t="s">
        <v>173</v>
      </c>
      <c r="Q56" s="7" t="s">
        <v>74</v>
      </c>
      <c r="R56" s="7" t="s">
        <v>47</v>
      </c>
      <c r="S56" s="7" t="s">
        <v>53</v>
      </c>
      <c r="T56" s="7" t="s">
        <v>53</v>
      </c>
      <c r="U56" s="3" t="s">
        <v>47</v>
      </c>
      <c r="V56" s="4" t="s">
        <v>404</v>
      </c>
      <c r="W56" s="302">
        <f>'Plepys data'!AA73</f>
        <v>5.9</v>
      </c>
      <c r="X56" s="2"/>
      <c r="Y56" s="2"/>
      <c r="Z56" s="2"/>
      <c r="AA56" s="2"/>
      <c r="AB56" s="2"/>
      <c r="AC56" s="2"/>
      <c r="AD56" s="2"/>
      <c r="AE56" s="2"/>
      <c r="AF56" s="2"/>
    </row>
    <row r="57" spans="1:32" s="34" customFormat="1" ht="31.5" x14ac:dyDescent="0.25">
      <c r="A57" s="2"/>
      <c r="B57" s="6" t="s">
        <v>169</v>
      </c>
      <c r="C57" s="7" t="s">
        <v>170</v>
      </c>
      <c r="D57" s="3">
        <v>2000</v>
      </c>
      <c r="E57" s="81" t="s">
        <v>171</v>
      </c>
      <c r="F57" s="7" t="s">
        <v>51</v>
      </c>
      <c r="G57" s="7" t="s">
        <v>58</v>
      </c>
      <c r="H57" s="7" t="s">
        <v>47</v>
      </c>
      <c r="I57" s="7" t="s">
        <v>74</v>
      </c>
      <c r="J57" s="7" t="s">
        <v>58</v>
      </c>
      <c r="K57" s="7">
        <v>200</v>
      </c>
      <c r="L57" s="7" t="s">
        <v>74</v>
      </c>
      <c r="M57" s="7" t="s">
        <v>74</v>
      </c>
      <c r="N57" s="7" t="s">
        <v>74</v>
      </c>
      <c r="O57" s="7" t="s">
        <v>48</v>
      </c>
      <c r="P57" s="3" t="s">
        <v>173</v>
      </c>
      <c r="Q57" s="7" t="s">
        <v>74</v>
      </c>
      <c r="R57" s="7" t="s">
        <v>47</v>
      </c>
      <c r="S57" s="7" t="s">
        <v>53</v>
      </c>
      <c r="T57" s="7" t="s">
        <v>53</v>
      </c>
      <c r="U57" s="3" t="s">
        <v>47</v>
      </c>
      <c r="V57" s="4" t="s">
        <v>404</v>
      </c>
      <c r="W57" s="302">
        <f>'Plepys data'!AA74</f>
        <v>14.5</v>
      </c>
      <c r="X57" s="2"/>
      <c r="Y57" s="2"/>
      <c r="Z57" s="2"/>
      <c r="AA57" s="2"/>
      <c r="AB57" s="2"/>
      <c r="AC57" s="2"/>
      <c r="AD57" s="2"/>
      <c r="AE57" s="2"/>
      <c r="AF57" s="2"/>
    </row>
    <row r="58" spans="1:32" s="34" customFormat="1" ht="31.5" x14ac:dyDescent="0.25">
      <c r="A58" s="2"/>
      <c r="B58" s="6" t="s">
        <v>169</v>
      </c>
      <c r="C58" s="7" t="s">
        <v>170</v>
      </c>
      <c r="D58" s="3">
        <v>2000</v>
      </c>
      <c r="E58" s="81" t="s">
        <v>171</v>
      </c>
      <c r="F58" s="7" t="s">
        <v>51</v>
      </c>
      <c r="G58" s="7" t="s">
        <v>58</v>
      </c>
      <c r="H58" s="7" t="s">
        <v>47</v>
      </c>
      <c r="I58" s="7" t="s">
        <v>74</v>
      </c>
      <c r="J58" s="7" t="s">
        <v>58</v>
      </c>
      <c r="K58" s="7">
        <v>200</v>
      </c>
      <c r="L58" s="7" t="s">
        <v>74</v>
      </c>
      <c r="M58" s="7" t="s">
        <v>74</v>
      </c>
      <c r="N58" s="7" t="s">
        <v>74</v>
      </c>
      <c r="O58" s="7" t="s">
        <v>48</v>
      </c>
      <c r="P58" s="3" t="s">
        <v>173</v>
      </c>
      <c r="Q58" s="7" t="s">
        <v>74</v>
      </c>
      <c r="R58" s="7" t="s">
        <v>47</v>
      </c>
      <c r="S58" s="7" t="s">
        <v>53</v>
      </c>
      <c r="T58" s="7" t="s">
        <v>53</v>
      </c>
      <c r="U58" s="3" t="s">
        <v>47</v>
      </c>
      <c r="V58" s="4" t="s">
        <v>404</v>
      </c>
      <c r="W58" s="302">
        <f>'Plepys data'!AA75</f>
        <v>17.600000000000001</v>
      </c>
      <c r="X58" s="2"/>
      <c r="Y58" s="2"/>
      <c r="Z58" s="2"/>
      <c r="AA58" s="2"/>
      <c r="AB58" s="2"/>
      <c r="AC58" s="2"/>
      <c r="AD58" s="2"/>
      <c r="AE58" s="2"/>
      <c r="AF58" s="2"/>
    </row>
    <row r="59" spans="1:32" s="34" customFormat="1" ht="31.5" x14ac:dyDescent="0.25">
      <c r="A59" s="2"/>
      <c r="B59" s="6" t="s">
        <v>169</v>
      </c>
      <c r="C59" s="7" t="s">
        <v>170</v>
      </c>
      <c r="D59" s="3">
        <v>2000</v>
      </c>
      <c r="E59" s="81" t="s">
        <v>171</v>
      </c>
      <c r="F59" s="7" t="s">
        <v>51</v>
      </c>
      <c r="G59" s="7" t="s">
        <v>58</v>
      </c>
      <c r="H59" s="7" t="s">
        <v>47</v>
      </c>
      <c r="I59" s="7" t="s">
        <v>74</v>
      </c>
      <c r="J59" s="7" t="s">
        <v>58</v>
      </c>
      <c r="K59" s="7">
        <v>300</v>
      </c>
      <c r="L59" s="7" t="s">
        <v>74</v>
      </c>
      <c r="M59" s="7" t="s">
        <v>74</v>
      </c>
      <c r="N59" s="7" t="s">
        <v>74</v>
      </c>
      <c r="O59" s="7" t="s">
        <v>48</v>
      </c>
      <c r="P59" s="3" t="s">
        <v>173</v>
      </c>
      <c r="Q59" s="7" t="s">
        <v>74</v>
      </c>
      <c r="R59" s="7" t="s">
        <v>47</v>
      </c>
      <c r="S59" s="7" t="s">
        <v>53</v>
      </c>
      <c r="T59" s="7" t="s">
        <v>53</v>
      </c>
      <c r="U59" s="3" t="s">
        <v>47</v>
      </c>
      <c r="V59" s="4" t="s">
        <v>404</v>
      </c>
      <c r="W59" s="302">
        <f>'Plepys data'!AA76</f>
        <v>6</v>
      </c>
      <c r="X59" s="2"/>
      <c r="Y59" s="2"/>
      <c r="Z59" s="2"/>
      <c r="AA59" s="2"/>
      <c r="AB59" s="2"/>
      <c r="AC59" s="2"/>
      <c r="AD59" s="2"/>
      <c r="AE59" s="2"/>
      <c r="AF59" s="2"/>
    </row>
    <row r="60" spans="1:32" s="34" customFormat="1" ht="31.5" x14ac:dyDescent="0.25">
      <c r="A60" s="2"/>
      <c r="B60" s="6" t="s">
        <v>169</v>
      </c>
      <c r="C60" s="7" t="s">
        <v>170</v>
      </c>
      <c r="D60" s="3">
        <v>2000</v>
      </c>
      <c r="E60" s="81" t="s">
        <v>171</v>
      </c>
      <c r="F60" s="7" t="s">
        <v>51</v>
      </c>
      <c r="G60" s="7" t="s">
        <v>58</v>
      </c>
      <c r="H60" s="7" t="s">
        <v>47</v>
      </c>
      <c r="I60" s="7" t="s">
        <v>74</v>
      </c>
      <c r="J60" s="7" t="s">
        <v>58</v>
      </c>
      <c r="K60" s="7">
        <v>300</v>
      </c>
      <c r="L60" s="7" t="s">
        <v>74</v>
      </c>
      <c r="M60" s="7" t="s">
        <v>74</v>
      </c>
      <c r="N60" s="7" t="s">
        <v>74</v>
      </c>
      <c r="O60" s="7" t="s">
        <v>48</v>
      </c>
      <c r="P60" s="3" t="s">
        <v>173</v>
      </c>
      <c r="Q60" s="7" t="s">
        <v>74</v>
      </c>
      <c r="R60" s="7" t="s">
        <v>47</v>
      </c>
      <c r="S60" s="7" t="s">
        <v>53</v>
      </c>
      <c r="T60" s="7" t="s">
        <v>53</v>
      </c>
      <c r="U60" s="3" t="s">
        <v>47</v>
      </c>
      <c r="V60" s="4" t="s">
        <v>404</v>
      </c>
      <c r="W60" s="302">
        <f>'Plepys data'!AA77</f>
        <v>24</v>
      </c>
      <c r="X60" s="2"/>
      <c r="Y60" s="2"/>
      <c r="Z60" s="2"/>
      <c r="AA60" s="2"/>
      <c r="AB60" s="2"/>
      <c r="AC60" s="2"/>
      <c r="AD60" s="2"/>
      <c r="AE60" s="2"/>
      <c r="AF60" s="2"/>
    </row>
    <row r="61" spans="1:32" s="34" customFormat="1" ht="31.5" x14ac:dyDescent="0.25">
      <c r="A61" s="2"/>
      <c r="B61" s="6" t="s">
        <v>169</v>
      </c>
      <c r="C61" s="7" t="s">
        <v>170</v>
      </c>
      <c r="D61" s="3">
        <v>2000</v>
      </c>
      <c r="E61" s="81" t="s">
        <v>171</v>
      </c>
      <c r="F61" s="7" t="s">
        <v>51</v>
      </c>
      <c r="G61" s="7" t="s">
        <v>58</v>
      </c>
      <c r="H61" s="7" t="s">
        <v>47</v>
      </c>
      <c r="I61" s="7" t="s">
        <v>74</v>
      </c>
      <c r="J61" s="7" t="s">
        <v>58</v>
      </c>
      <c r="K61" s="7">
        <v>300</v>
      </c>
      <c r="L61" s="7" t="s">
        <v>74</v>
      </c>
      <c r="M61" s="7" t="s">
        <v>74</v>
      </c>
      <c r="N61" s="7" t="s">
        <v>74</v>
      </c>
      <c r="O61" s="7" t="s">
        <v>48</v>
      </c>
      <c r="P61" s="3" t="s">
        <v>173</v>
      </c>
      <c r="Q61" s="7" t="s">
        <v>74</v>
      </c>
      <c r="R61" s="7" t="s">
        <v>47</v>
      </c>
      <c r="S61" s="7" t="s">
        <v>53</v>
      </c>
      <c r="T61" s="7" t="s">
        <v>53</v>
      </c>
      <c r="U61" s="3" t="s">
        <v>47</v>
      </c>
      <c r="V61" s="4" t="s">
        <v>404</v>
      </c>
      <c r="W61" s="302">
        <f>'Plepys data'!AA78</f>
        <v>18</v>
      </c>
      <c r="X61" s="2"/>
      <c r="Y61" s="2"/>
      <c r="Z61" s="2"/>
      <c r="AA61" s="2"/>
      <c r="AB61" s="2"/>
      <c r="AC61" s="2"/>
      <c r="AD61" s="2"/>
      <c r="AE61" s="2"/>
      <c r="AF61" s="2"/>
    </row>
    <row r="62" spans="1:32" s="34" customFormat="1" ht="31.5" x14ac:dyDescent="0.25">
      <c r="A62" s="2"/>
      <c r="B62" s="6" t="s">
        <v>169</v>
      </c>
      <c r="C62" s="7" t="s">
        <v>170</v>
      </c>
      <c r="D62" s="3">
        <v>2001</v>
      </c>
      <c r="E62" s="81" t="s">
        <v>171</v>
      </c>
      <c r="F62" s="7" t="s">
        <v>51</v>
      </c>
      <c r="G62" s="7" t="s">
        <v>58</v>
      </c>
      <c r="H62" s="7" t="s">
        <v>47</v>
      </c>
      <c r="I62" s="7" t="s">
        <v>74</v>
      </c>
      <c r="J62" s="7" t="s">
        <v>58</v>
      </c>
      <c r="K62" s="7">
        <v>300</v>
      </c>
      <c r="L62" s="7" t="s">
        <v>74</v>
      </c>
      <c r="M62" s="7" t="s">
        <v>74</v>
      </c>
      <c r="N62" s="7" t="s">
        <v>74</v>
      </c>
      <c r="O62" s="7" t="s">
        <v>48</v>
      </c>
      <c r="P62" s="3" t="s">
        <v>173</v>
      </c>
      <c r="Q62" s="7" t="s">
        <v>74</v>
      </c>
      <c r="R62" s="7" t="s">
        <v>47</v>
      </c>
      <c r="S62" s="7" t="s">
        <v>53</v>
      </c>
      <c r="T62" s="7" t="s">
        <v>53</v>
      </c>
      <c r="U62" s="3" t="s">
        <v>47</v>
      </c>
      <c r="V62" s="4" t="s">
        <v>404</v>
      </c>
      <c r="W62" s="302">
        <f>'Plepys data'!AA79</f>
        <v>5.9</v>
      </c>
      <c r="X62" s="2"/>
      <c r="Y62" s="2"/>
      <c r="Z62" s="2"/>
      <c r="AA62" s="2"/>
      <c r="AB62" s="2"/>
      <c r="AC62" s="2"/>
      <c r="AD62" s="2"/>
      <c r="AE62" s="2"/>
      <c r="AF62" s="2"/>
    </row>
    <row r="63" spans="1:32" s="34" customFormat="1" ht="31.5" x14ac:dyDescent="0.25">
      <c r="A63" s="2"/>
      <c r="B63" s="6" t="s">
        <v>169</v>
      </c>
      <c r="C63" s="7" t="s">
        <v>170</v>
      </c>
      <c r="D63" s="3">
        <v>2001</v>
      </c>
      <c r="E63" s="81" t="s">
        <v>171</v>
      </c>
      <c r="F63" s="7" t="s">
        <v>51</v>
      </c>
      <c r="G63" s="7" t="s">
        <v>58</v>
      </c>
      <c r="H63" s="7" t="s">
        <v>47</v>
      </c>
      <c r="I63" s="7" t="s">
        <v>74</v>
      </c>
      <c r="J63" s="7" t="s">
        <v>58</v>
      </c>
      <c r="K63" s="7">
        <v>200</v>
      </c>
      <c r="L63" s="7" t="s">
        <v>74</v>
      </c>
      <c r="M63" s="7" t="s">
        <v>74</v>
      </c>
      <c r="N63" s="7" t="s">
        <v>74</v>
      </c>
      <c r="O63" s="7" t="s">
        <v>48</v>
      </c>
      <c r="P63" s="3" t="s">
        <v>173</v>
      </c>
      <c r="Q63" s="7" t="s">
        <v>74</v>
      </c>
      <c r="R63" s="7" t="s">
        <v>47</v>
      </c>
      <c r="S63" s="7" t="s">
        <v>53</v>
      </c>
      <c r="T63" s="7" t="s">
        <v>53</v>
      </c>
      <c r="U63" s="3" t="s">
        <v>47</v>
      </c>
      <c r="V63" s="4" t="s">
        <v>404</v>
      </c>
      <c r="W63" s="302">
        <f>'Plepys data'!AA80</f>
        <v>8</v>
      </c>
      <c r="X63" s="2"/>
      <c r="Y63" s="2"/>
      <c r="Z63" s="2"/>
      <c r="AA63" s="2"/>
      <c r="AB63" s="2"/>
      <c r="AC63" s="2"/>
      <c r="AD63" s="2"/>
      <c r="AE63" s="2"/>
      <c r="AF63" s="2"/>
    </row>
    <row r="64" spans="1:32" s="34" customFormat="1" ht="31.5" x14ac:dyDescent="0.25">
      <c r="A64" s="2"/>
      <c r="B64" s="6" t="s">
        <v>169</v>
      </c>
      <c r="C64" s="7" t="s">
        <v>170</v>
      </c>
      <c r="D64" s="3">
        <v>2002</v>
      </c>
      <c r="E64" s="81" t="s">
        <v>171</v>
      </c>
      <c r="F64" s="7" t="s">
        <v>51</v>
      </c>
      <c r="G64" s="7" t="s">
        <v>58</v>
      </c>
      <c r="H64" s="7" t="s">
        <v>47</v>
      </c>
      <c r="I64" s="7" t="s">
        <v>74</v>
      </c>
      <c r="J64" s="7" t="s">
        <v>58</v>
      </c>
      <c r="K64" s="7">
        <v>200</v>
      </c>
      <c r="L64" s="7" t="s">
        <v>74</v>
      </c>
      <c r="M64" s="7" t="s">
        <v>74</v>
      </c>
      <c r="N64" s="7" t="s">
        <v>74</v>
      </c>
      <c r="O64" s="7" t="s">
        <v>48</v>
      </c>
      <c r="P64" s="3" t="s">
        <v>173</v>
      </c>
      <c r="Q64" s="7" t="s">
        <v>74</v>
      </c>
      <c r="R64" s="7" t="s">
        <v>47</v>
      </c>
      <c r="S64" s="7" t="s">
        <v>53</v>
      </c>
      <c r="T64" s="7" t="s">
        <v>53</v>
      </c>
      <c r="U64" s="3" t="s">
        <v>47</v>
      </c>
      <c r="V64" s="4" t="s">
        <v>404</v>
      </c>
      <c r="W64" s="302">
        <f>'Plepys data'!AA81</f>
        <v>9.3000000000000007</v>
      </c>
      <c r="X64" s="2"/>
      <c r="Y64" s="2"/>
      <c r="Z64" s="2"/>
      <c r="AA64" s="2"/>
      <c r="AB64" s="2"/>
      <c r="AC64" s="2"/>
      <c r="AD64" s="2"/>
      <c r="AE64" s="2"/>
      <c r="AF64" s="2"/>
    </row>
    <row r="65" spans="1:32" s="34" customFormat="1" ht="31.5" x14ac:dyDescent="0.25">
      <c r="A65" s="2"/>
      <c r="B65" s="6" t="s">
        <v>169</v>
      </c>
      <c r="C65" s="7" t="s">
        <v>170</v>
      </c>
      <c r="D65" s="3">
        <v>2002</v>
      </c>
      <c r="E65" s="81" t="s">
        <v>171</v>
      </c>
      <c r="F65" s="7" t="s">
        <v>51</v>
      </c>
      <c r="G65" s="7" t="s">
        <v>58</v>
      </c>
      <c r="H65" s="7" t="s">
        <v>47</v>
      </c>
      <c r="I65" s="7" t="s">
        <v>74</v>
      </c>
      <c r="J65" s="7" t="s">
        <v>58</v>
      </c>
      <c r="K65" s="7">
        <v>200</v>
      </c>
      <c r="L65" s="7" t="s">
        <v>74</v>
      </c>
      <c r="M65" s="7" t="s">
        <v>74</v>
      </c>
      <c r="N65" s="7" t="s">
        <v>74</v>
      </c>
      <c r="O65" s="7" t="s">
        <v>48</v>
      </c>
      <c r="P65" s="3" t="s">
        <v>173</v>
      </c>
      <c r="Q65" s="7" t="s">
        <v>74</v>
      </c>
      <c r="R65" s="7" t="s">
        <v>47</v>
      </c>
      <c r="S65" s="7" t="s">
        <v>53</v>
      </c>
      <c r="T65" s="7" t="s">
        <v>53</v>
      </c>
      <c r="U65" s="3" t="s">
        <v>47</v>
      </c>
      <c r="V65" s="4" t="s">
        <v>404</v>
      </c>
      <c r="W65" s="302">
        <f>'Plepys data'!AA82</f>
        <v>28.7</v>
      </c>
      <c r="X65" s="2"/>
      <c r="Y65" s="2"/>
      <c r="Z65" s="2"/>
      <c r="AA65" s="2"/>
      <c r="AB65" s="2"/>
      <c r="AC65" s="2"/>
      <c r="AD65" s="2"/>
      <c r="AE65" s="2"/>
      <c r="AF65" s="2"/>
    </row>
    <row r="66" spans="1:32" s="34" customFormat="1" ht="31.5" x14ac:dyDescent="0.25">
      <c r="A66" s="2"/>
      <c r="B66" s="6" t="s">
        <v>169</v>
      </c>
      <c r="C66" s="7" t="s">
        <v>170</v>
      </c>
      <c r="D66" s="3">
        <v>2003</v>
      </c>
      <c r="E66" s="81" t="s">
        <v>171</v>
      </c>
      <c r="F66" s="7" t="s">
        <v>51</v>
      </c>
      <c r="G66" s="7" t="s">
        <v>58</v>
      </c>
      <c r="H66" s="7" t="s">
        <v>47</v>
      </c>
      <c r="I66" s="7" t="s">
        <v>74</v>
      </c>
      <c r="J66" s="7" t="s">
        <v>58</v>
      </c>
      <c r="K66" s="7">
        <v>200</v>
      </c>
      <c r="L66" s="7" t="s">
        <v>74</v>
      </c>
      <c r="M66" s="7" t="s">
        <v>74</v>
      </c>
      <c r="N66" s="7" t="s">
        <v>74</v>
      </c>
      <c r="O66" s="7" t="s">
        <v>48</v>
      </c>
      <c r="P66" s="3" t="s">
        <v>173</v>
      </c>
      <c r="Q66" s="7" t="s">
        <v>74</v>
      </c>
      <c r="R66" s="7" t="s">
        <v>47</v>
      </c>
      <c r="S66" s="7" t="s">
        <v>53</v>
      </c>
      <c r="T66" s="7" t="s">
        <v>53</v>
      </c>
      <c r="U66" s="3" t="s">
        <v>47</v>
      </c>
      <c r="V66" s="4" t="s">
        <v>404</v>
      </c>
      <c r="W66" s="302">
        <f>'Plepys data'!AA83</f>
        <v>9.3000000000000007</v>
      </c>
      <c r="X66" s="2"/>
      <c r="Y66" s="2"/>
      <c r="Z66" s="2"/>
      <c r="AA66" s="2"/>
      <c r="AB66" s="2"/>
      <c r="AC66" s="2"/>
      <c r="AD66" s="2"/>
      <c r="AE66" s="2"/>
      <c r="AF66" s="2"/>
    </row>
    <row r="67" spans="1:32" s="34" customFormat="1" ht="31.5" x14ac:dyDescent="0.25">
      <c r="A67" s="2"/>
      <c r="B67" s="6" t="s">
        <v>169</v>
      </c>
      <c r="C67" s="7" t="s">
        <v>170</v>
      </c>
      <c r="D67" s="3">
        <v>2003</v>
      </c>
      <c r="E67" s="81" t="s">
        <v>171</v>
      </c>
      <c r="F67" s="7" t="s">
        <v>51</v>
      </c>
      <c r="G67" s="7" t="s">
        <v>58</v>
      </c>
      <c r="H67" s="7" t="s">
        <v>47</v>
      </c>
      <c r="I67" s="7" t="s">
        <v>74</v>
      </c>
      <c r="J67" s="7" t="s">
        <v>58</v>
      </c>
      <c r="K67" s="7">
        <v>200</v>
      </c>
      <c r="L67" s="7" t="s">
        <v>74</v>
      </c>
      <c r="M67" s="7" t="s">
        <v>74</v>
      </c>
      <c r="N67" s="7" t="s">
        <v>74</v>
      </c>
      <c r="O67" s="7" t="s">
        <v>48</v>
      </c>
      <c r="P67" s="3" t="s">
        <v>173</v>
      </c>
      <c r="Q67" s="7" t="s">
        <v>74</v>
      </c>
      <c r="R67" s="7" t="s">
        <v>47</v>
      </c>
      <c r="S67" s="7" t="s">
        <v>53</v>
      </c>
      <c r="T67" s="7" t="s">
        <v>53</v>
      </c>
      <c r="U67" s="3" t="s">
        <v>47</v>
      </c>
      <c r="V67" s="4" t="s">
        <v>404</v>
      </c>
      <c r="W67" s="302">
        <f>'Plepys data'!AA84</f>
        <v>9.4</v>
      </c>
      <c r="X67" s="2"/>
      <c r="Y67" s="2"/>
      <c r="Z67" s="2"/>
      <c r="AA67" s="2"/>
      <c r="AB67" s="2"/>
      <c r="AC67" s="2"/>
      <c r="AD67" s="2"/>
      <c r="AE67" s="2"/>
      <c r="AF67" s="2"/>
    </row>
    <row r="68" spans="1:32" s="34" customFormat="1" ht="31.5" x14ac:dyDescent="0.25">
      <c r="A68" s="2"/>
      <c r="B68" s="6" t="s">
        <v>218</v>
      </c>
      <c r="C68" s="7" t="s">
        <v>219</v>
      </c>
      <c r="D68" s="3">
        <f>'Williams data'!J6</f>
        <v>2002</v>
      </c>
      <c r="E68" s="81" t="s">
        <v>220</v>
      </c>
      <c r="F68" s="91" t="s">
        <v>45</v>
      </c>
      <c r="G68" s="7" t="s">
        <v>52</v>
      </c>
      <c r="H68" s="7" t="s">
        <v>47</v>
      </c>
      <c r="I68" s="7" t="s">
        <v>47</v>
      </c>
      <c r="J68" s="7" t="s">
        <v>74</v>
      </c>
      <c r="K68" s="7">
        <v>200</v>
      </c>
      <c r="L68" s="7" t="s">
        <v>47</v>
      </c>
      <c r="M68" s="7" t="s">
        <v>74</v>
      </c>
      <c r="N68" s="7" t="s">
        <v>47</v>
      </c>
      <c r="O68" s="7" t="s">
        <v>337</v>
      </c>
      <c r="P68" s="7" t="s">
        <v>173</v>
      </c>
      <c r="Q68" s="7" t="s">
        <v>50</v>
      </c>
      <c r="R68" s="7" t="s">
        <v>53</v>
      </c>
      <c r="S68" s="7" t="s">
        <v>47</v>
      </c>
      <c r="T68" s="7" t="s">
        <v>47</v>
      </c>
      <c r="U68" s="7" t="s">
        <v>47</v>
      </c>
      <c r="V68" s="4" t="s">
        <v>463</v>
      </c>
      <c r="W68" s="302">
        <f>'Williams data'!L6</f>
        <v>20</v>
      </c>
      <c r="X68" s="2"/>
      <c r="Y68" s="2"/>
      <c r="Z68" s="2"/>
      <c r="AA68" s="2"/>
      <c r="AB68" s="2"/>
      <c r="AC68" s="2"/>
      <c r="AD68" s="2"/>
      <c r="AE68" s="2"/>
      <c r="AF68" s="2"/>
    </row>
    <row r="69" spans="1:32" s="34" customFormat="1" ht="63" x14ac:dyDescent="0.25">
      <c r="A69" s="2"/>
      <c r="B69" s="6" t="s">
        <v>218</v>
      </c>
      <c r="C69" s="7" t="s">
        <v>219</v>
      </c>
      <c r="D69" s="3">
        <f>'Williams data'!J7</f>
        <v>1998</v>
      </c>
      <c r="E69" s="81" t="s">
        <v>220</v>
      </c>
      <c r="F69" s="7" t="s">
        <v>51</v>
      </c>
      <c r="G69" s="7" t="s">
        <v>46</v>
      </c>
      <c r="H69" s="7" t="s">
        <v>47</v>
      </c>
      <c r="I69" s="7" t="s">
        <v>53</v>
      </c>
      <c r="J69" s="88" t="s">
        <v>74</v>
      </c>
      <c r="K69" s="7">
        <v>150</v>
      </c>
      <c r="L69" s="3" t="s">
        <v>74</v>
      </c>
      <c r="M69" s="3" t="s">
        <v>74</v>
      </c>
      <c r="N69" s="3" t="s">
        <v>74</v>
      </c>
      <c r="O69" s="3" t="s">
        <v>74</v>
      </c>
      <c r="P69" s="3" t="s">
        <v>173</v>
      </c>
      <c r="Q69" s="3" t="s">
        <v>74</v>
      </c>
      <c r="R69" s="3" t="s">
        <v>74</v>
      </c>
      <c r="S69" s="3" t="s">
        <v>72</v>
      </c>
      <c r="T69" s="3" t="s">
        <v>53</v>
      </c>
      <c r="U69" s="7" t="s">
        <v>47</v>
      </c>
      <c r="V69" s="4" t="s">
        <v>464</v>
      </c>
      <c r="W69" s="302">
        <f>'Williams data'!L7</f>
        <v>18</v>
      </c>
      <c r="X69" s="2"/>
      <c r="Y69" s="2"/>
      <c r="Z69" s="2"/>
      <c r="AA69" s="2"/>
      <c r="AB69" s="2"/>
      <c r="AC69" s="2"/>
      <c r="AD69" s="2"/>
      <c r="AE69" s="2"/>
      <c r="AF69" s="2"/>
    </row>
    <row r="70" spans="1:32" s="34" customFormat="1" ht="63" x14ac:dyDescent="0.25">
      <c r="A70" s="2"/>
      <c r="B70" s="6" t="s">
        <v>218</v>
      </c>
      <c r="C70" s="7" t="s">
        <v>219</v>
      </c>
      <c r="D70" s="3">
        <f>'Williams data'!J8</f>
        <v>1998</v>
      </c>
      <c r="E70" s="81" t="s">
        <v>220</v>
      </c>
      <c r="F70" s="7" t="s">
        <v>51</v>
      </c>
      <c r="G70" s="7" t="s">
        <v>46</v>
      </c>
      <c r="H70" s="7" t="s">
        <v>47</v>
      </c>
      <c r="I70" s="7" t="s">
        <v>53</v>
      </c>
      <c r="J70" s="88" t="s">
        <v>74</v>
      </c>
      <c r="K70" s="7">
        <v>150</v>
      </c>
      <c r="L70" s="3" t="s">
        <v>74</v>
      </c>
      <c r="M70" s="3" t="s">
        <v>74</v>
      </c>
      <c r="N70" s="3" t="s">
        <v>74</v>
      </c>
      <c r="O70" s="3" t="s">
        <v>74</v>
      </c>
      <c r="P70" s="3" t="s">
        <v>173</v>
      </c>
      <c r="Q70" s="3" t="s">
        <v>74</v>
      </c>
      <c r="R70" s="3" t="s">
        <v>74</v>
      </c>
      <c r="S70" s="3" t="s">
        <v>72</v>
      </c>
      <c r="T70" s="3" t="s">
        <v>53</v>
      </c>
      <c r="U70" s="7" t="s">
        <v>47</v>
      </c>
      <c r="V70" s="4" t="s">
        <v>465</v>
      </c>
      <c r="W70" s="302">
        <f>'Williams data'!L8</f>
        <v>27</v>
      </c>
      <c r="X70" s="2"/>
      <c r="Y70" s="2"/>
      <c r="Z70" s="2"/>
      <c r="AA70" s="2"/>
      <c r="AB70" s="2"/>
      <c r="AC70" s="2"/>
      <c r="AD70" s="2"/>
      <c r="AE70" s="2"/>
      <c r="AF70" s="2"/>
    </row>
    <row r="71" spans="1:32" s="34" customFormat="1" ht="63" x14ac:dyDescent="0.25">
      <c r="A71" s="2"/>
      <c r="B71" s="6" t="s">
        <v>218</v>
      </c>
      <c r="C71" s="7" t="s">
        <v>219</v>
      </c>
      <c r="D71" s="3">
        <f>'Williams data'!J9</f>
        <v>1996</v>
      </c>
      <c r="E71" s="81" t="s">
        <v>220</v>
      </c>
      <c r="F71" s="7" t="s">
        <v>51</v>
      </c>
      <c r="G71" s="7" t="s">
        <v>74</v>
      </c>
      <c r="H71" s="7" t="s">
        <v>74</v>
      </c>
      <c r="I71" s="7" t="s">
        <v>74</v>
      </c>
      <c r="J71" s="88" t="s">
        <v>74</v>
      </c>
      <c r="K71" s="7" t="s">
        <v>74</v>
      </c>
      <c r="L71" s="3" t="s">
        <v>74</v>
      </c>
      <c r="M71" s="3" t="s">
        <v>74</v>
      </c>
      <c r="N71" s="3" t="s">
        <v>74</v>
      </c>
      <c r="O71" s="3" t="s">
        <v>74</v>
      </c>
      <c r="P71" s="3" t="s">
        <v>173</v>
      </c>
      <c r="Q71" s="3" t="s">
        <v>74</v>
      </c>
      <c r="R71" s="3" t="s">
        <v>74</v>
      </c>
      <c r="S71" s="3" t="s">
        <v>72</v>
      </c>
      <c r="T71" s="3" t="s">
        <v>53</v>
      </c>
      <c r="U71" s="3" t="s">
        <v>47</v>
      </c>
      <c r="V71" s="4" t="s">
        <v>466</v>
      </c>
      <c r="W71" s="302">
        <f>'Williams data'!L9</f>
        <v>5</v>
      </c>
      <c r="X71" s="2"/>
      <c r="Y71" s="2"/>
      <c r="Z71" s="2"/>
      <c r="AA71" s="2"/>
      <c r="AB71" s="2"/>
      <c r="AC71" s="2"/>
      <c r="AD71" s="2"/>
      <c r="AE71" s="2"/>
      <c r="AF71" s="2"/>
    </row>
    <row r="72" spans="1:32" s="34" customFormat="1" ht="63" x14ac:dyDescent="0.25">
      <c r="A72" s="2"/>
      <c r="B72" s="6" t="s">
        <v>218</v>
      </c>
      <c r="C72" s="7" t="s">
        <v>219</v>
      </c>
      <c r="D72" s="3">
        <f>'Williams data'!J10</f>
        <v>1996</v>
      </c>
      <c r="E72" s="81" t="s">
        <v>220</v>
      </c>
      <c r="F72" s="7" t="s">
        <v>51</v>
      </c>
      <c r="G72" s="7" t="s">
        <v>74</v>
      </c>
      <c r="H72" s="7" t="s">
        <v>74</v>
      </c>
      <c r="I72" s="7" t="s">
        <v>74</v>
      </c>
      <c r="J72" s="88" t="s">
        <v>74</v>
      </c>
      <c r="K72" s="7" t="s">
        <v>74</v>
      </c>
      <c r="L72" s="3" t="s">
        <v>74</v>
      </c>
      <c r="M72" s="3" t="s">
        <v>74</v>
      </c>
      <c r="N72" s="3" t="s">
        <v>74</v>
      </c>
      <c r="O72" s="3" t="s">
        <v>74</v>
      </c>
      <c r="P72" s="3" t="s">
        <v>173</v>
      </c>
      <c r="Q72" s="3" t="s">
        <v>74</v>
      </c>
      <c r="R72" s="3" t="s">
        <v>74</v>
      </c>
      <c r="S72" s="3" t="s">
        <v>72</v>
      </c>
      <c r="T72" s="3" t="s">
        <v>53</v>
      </c>
      <c r="U72" s="3" t="s">
        <v>47</v>
      </c>
      <c r="V72" s="4" t="s">
        <v>466</v>
      </c>
      <c r="W72" s="302">
        <f>'Williams data'!L10</f>
        <v>29</v>
      </c>
      <c r="X72" s="2"/>
      <c r="Y72" s="2"/>
      <c r="Z72" s="2"/>
      <c r="AA72" s="2"/>
      <c r="AB72" s="2"/>
      <c r="AC72" s="2"/>
      <c r="AD72" s="2"/>
      <c r="AE72" s="2"/>
      <c r="AF72" s="2"/>
    </row>
    <row r="73" spans="1:32" s="34" customFormat="1" ht="63" x14ac:dyDescent="0.25">
      <c r="A73" s="2"/>
      <c r="B73" s="6" t="s">
        <v>218</v>
      </c>
      <c r="C73" s="7" t="s">
        <v>219</v>
      </c>
      <c r="D73" s="3">
        <f>'Williams data'!J11</f>
        <v>1996</v>
      </c>
      <c r="E73" s="81" t="s">
        <v>220</v>
      </c>
      <c r="F73" s="7" t="s">
        <v>51</v>
      </c>
      <c r="G73" s="7" t="s">
        <v>74</v>
      </c>
      <c r="H73" s="7" t="s">
        <v>74</v>
      </c>
      <c r="I73" s="7" t="s">
        <v>74</v>
      </c>
      <c r="J73" s="88" t="s">
        <v>74</v>
      </c>
      <c r="K73" s="7" t="s">
        <v>74</v>
      </c>
      <c r="L73" s="3" t="s">
        <v>74</v>
      </c>
      <c r="M73" s="3" t="s">
        <v>74</v>
      </c>
      <c r="N73" s="3" t="s">
        <v>74</v>
      </c>
      <c r="O73" s="3" t="s">
        <v>74</v>
      </c>
      <c r="P73" s="3" t="s">
        <v>173</v>
      </c>
      <c r="Q73" s="3" t="s">
        <v>74</v>
      </c>
      <c r="R73" s="3" t="s">
        <v>74</v>
      </c>
      <c r="S73" s="3" t="s">
        <v>72</v>
      </c>
      <c r="T73" s="3" t="s">
        <v>53</v>
      </c>
      <c r="U73" s="3" t="s">
        <v>47</v>
      </c>
      <c r="V73" s="4" t="s">
        <v>466</v>
      </c>
      <c r="W73" s="302">
        <f>'Williams data'!L11</f>
        <v>17</v>
      </c>
      <c r="X73" s="2"/>
      <c r="Y73" s="2"/>
      <c r="Z73" s="2"/>
      <c r="AA73" s="2"/>
      <c r="AB73" s="2"/>
      <c r="AC73" s="2"/>
      <c r="AD73" s="2"/>
      <c r="AE73" s="2"/>
      <c r="AF73" s="2"/>
    </row>
    <row r="74" spans="1:32" s="34" customFormat="1" ht="47.25" x14ac:dyDescent="0.25">
      <c r="A74" s="2"/>
      <c r="B74" s="6" t="s">
        <v>467</v>
      </c>
      <c r="C74" s="3" t="s">
        <v>235</v>
      </c>
      <c r="D74" s="3">
        <f>'Branham data'!I6</f>
        <v>2008</v>
      </c>
      <c r="E74" s="357" t="s">
        <v>236</v>
      </c>
      <c r="F74" s="3" t="s">
        <v>45</v>
      </c>
      <c r="G74" s="7" t="s">
        <v>46</v>
      </c>
      <c r="H74" s="3" t="s">
        <v>47</v>
      </c>
      <c r="I74" s="3" t="s">
        <v>74</v>
      </c>
      <c r="J74" s="3" t="s">
        <v>74</v>
      </c>
      <c r="K74" s="3" t="s">
        <v>74</v>
      </c>
      <c r="L74" s="3" t="s">
        <v>74</v>
      </c>
      <c r="M74" s="3" t="s">
        <v>74</v>
      </c>
      <c r="N74" s="3" t="s">
        <v>74</v>
      </c>
      <c r="O74" s="3" t="s">
        <v>74</v>
      </c>
      <c r="P74" s="3" t="s">
        <v>173</v>
      </c>
      <c r="Q74" s="7" t="s">
        <v>56</v>
      </c>
      <c r="R74" s="3" t="s">
        <v>47</v>
      </c>
      <c r="S74" s="3" t="s">
        <v>113</v>
      </c>
      <c r="T74" s="3" t="s">
        <v>53</v>
      </c>
      <c r="U74" s="3" t="s">
        <v>47</v>
      </c>
      <c r="V74" s="4" t="s">
        <v>437</v>
      </c>
      <c r="W74" s="302">
        <f>'Branham data'!K6</f>
        <v>20</v>
      </c>
      <c r="X74" s="2"/>
      <c r="Y74" s="2"/>
      <c r="Z74" s="2"/>
      <c r="AA74" s="2"/>
      <c r="AB74" s="2"/>
      <c r="AC74" s="2"/>
      <c r="AD74" s="2"/>
      <c r="AE74" s="2"/>
      <c r="AF74" s="2"/>
    </row>
    <row r="75" spans="1:32" s="34" customFormat="1" ht="47.25" x14ac:dyDescent="0.25">
      <c r="A75" s="2"/>
      <c r="B75" s="6" t="s">
        <v>467</v>
      </c>
      <c r="C75" s="3" t="s">
        <v>235</v>
      </c>
      <c r="D75" s="3">
        <f>'Branham data'!I7</f>
        <v>2008</v>
      </c>
      <c r="E75" s="357" t="s">
        <v>239</v>
      </c>
      <c r="F75" s="3" t="s">
        <v>45</v>
      </c>
      <c r="G75" s="7" t="s">
        <v>46</v>
      </c>
      <c r="H75" s="3" t="s">
        <v>47</v>
      </c>
      <c r="I75" s="3" t="s">
        <v>74</v>
      </c>
      <c r="J75" s="3" t="s">
        <v>74</v>
      </c>
      <c r="K75" s="3" t="s">
        <v>74</v>
      </c>
      <c r="L75" s="3" t="s">
        <v>74</v>
      </c>
      <c r="M75" s="3" t="s">
        <v>74</v>
      </c>
      <c r="N75" s="3" t="s">
        <v>74</v>
      </c>
      <c r="O75" s="3" t="s">
        <v>74</v>
      </c>
      <c r="P75" s="3" t="s">
        <v>173</v>
      </c>
      <c r="Q75" s="7" t="s">
        <v>56</v>
      </c>
      <c r="R75" s="3" t="s">
        <v>47</v>
      </c>
      <c r="S75" s="3" t="s">
        <v>113</v>
      </c>
      <c r="T75" s="3" t="s">
        <v>53</v>
      </c>
      <c r="U75" s="3" t="s">
        <v>47</v>
      </c>
      <c r="V75" s="4" t="s">
        <v>468</v>
      </c>
      <c r="W75" s="302">
        <f>'Branham data'!K7</f>
        <v>40</v>
      </c>
      <c r="X75" s="2"/>
      <c r="Y75" s="2"/>
      <c r="Z75" s="2"/>
      <c r="AA75" s="2"/>
      <c r="AB75" s="2"/>
      <c r="AC75" s="2"/>
      <c r="AD75" s="2"/>
      <c r="AE75" s="2"/>
      <c r="AF75" s="2"/>
    </row>
    <row r="76" spans="1:32" s="34" customFormat="1" ht="47.25" x14ac:dyDescent="0.25">
      <c r="A76" s="2"/>
      <c r="B76" s="6" t="s">
        <v>467</v>
      </c>
      <c r="C76" s="3" t="s">
        <v>235</v>
      </c>
      <c r="D76" s="3">
        <f>'Branham data'!I8</f>
        <v>2004</v>
      </c>
      <c r="E76" s="357" t="s">
        <v>240</v>
      </c>
      <c r="F76" s="21" t="s">
        <v>51</v>
      </c>
      <c r="G76" s="7" t="s">
        <v>46</v>
      </c>
      <c r="H76" s="3" t="s">
        <v>47</v>
      </c>
      <c r="I76" s="3" t="s">
        <v>74</v>
      </c>
      <c r="J76" s="3" t="s">
        <v>74</v>
      </c>
      <c r="K76" s="3" t="s">
        <v>74</v>
      </c>
      <c r="L76" s="3" t="s">
        <v>74</v>
      </c>
      <c r="M76" s="3" t="s">
        <v>74</v>
      </c>
      <c r="N76" s="3" t="s">
        <v>74</v>
      </c>
      <c r="O76" s="3" t="s">
        <v>74</v>
      </c>
      <c r="P76" s="3" t="s">
        <v>173</v>
      </c>
      <c r="Q76" s="7" t="s">
        <v>56</v>
      </c>
      <c r="R76" s="3" t="s">
        <v>47</v>
      </c>
      <c r="S76" s="3" t="s">
        <v>113</v>
      </c>
      <c r="T76" s="3" t="s">
        <v>53</v>
      </c>
      <c r="U76" s="3" t="s">
        <v>47</v>
      </c>
      <c r="V76" s="4" t="s">
        <v>469</v>
      </c>
      <c r="W76" s="302">
        <f>'Branham data'!K8</f>
        <v>20</v>
      </c>
      <c r="X76" s="2"/>
      <c r="Y76" s="2"/>
      <c r="Z76" s="2"/>
      <c r="AA76" s="2"/>
      <c r="AB76" s="2"/>
      <c r="AC76" s="2"/>
      <c r="AD76" s="2"/>
      <c r="AE76" s="2"/>
      <c r="AF76" s="2"/>
    </row>
    <row r="77" spans="1:32" s="34" customFormat="1" ht="47.25" x14ac:dyDescent="0.25">
      <c r="A77" s="2"/>
      <c r="B77" s="6" t="s">
        <v>467</v>
      </c>
      <c r="C77" s="3" t="s">
        <v>235</v>
      </c>
      <c r="D77" s="3">
        <f>'Branham data'!I9</f>
        <v>1993</v>
      </c>
      <c r="E77" s="357" t="s">
        <v>241</v>
      </c>
      <c r="F77" s="21" t="s">
        <v>51</v>
      </c>
      <c r="G77" s="7" t="s">
        <v>46</v>
      </c>
      <c r="H77" s="3" t="s">
        <v>47</v>
      </c>
      <c r="I77" s="3" t="s">
        <v>74</v>
      </c>
      <c r="J77" s="3" t="s">
        <v>74</v>
      </c>
      <c r="K77" s="3" t="s">
        <v>74</v>
      </c>
      <c r="L77" s="3" t="s">
        <v>74</v>
      </c>
      <c r="M77" s="3" t="s">
        <v>74</v>
      </c>
      <c r="N77" s="3" t="s">
        <v>74</v>
      </c>
      <c r="O77" s="3" t="s">
        <v>74</v>
      </c>
      <c r="P77" s="3" t="s">
        <v>173</v>
      </c>
      <c r="Q77" s="7" t="s">
        <v>56</v>
      </c>
      <c r="R77" s="3" t="s">
        <v>47</v>
      </c>
      <c r="S77" s="3" t="s">
        <v>113</v>
      </c>
      <c r="T77" s="3" t="s">
        <v>53</v>
      </c>
      <c r="U77" s="3" t="s">
        <v>47</v>
      </c>
      <c r="V77" s="4" t="s">
        <v>470</v>
      </c>
      <c r="W77" s="302">
        <f>'Branham data'!K9</f>
        <v>21</v>
      </c>
      <c r="X77" s="2"/>
      <c r="Y77" s="2"/>
      <c r="Z77" s="2"/>
      <c r="AA77" s="2"/>
      <c r="AB77" s="2"/>
      <c r="AC77" s="2"/>
      <c r="AD77" s="2"/>
      <c r="AE77" s="2"/>
      <c r="AF77" s="2"/>
    </row>
    <row r="78" spans="1:32" s="345" customFormat="1" x14ac:dyDescent="0.25">
      <c r="V78" s="351"/>
      <c r="W78" s="339"/>
      <c r="AE78" s="351"/>
    </row>
    <row r="79" spans="1:32" s="34" customFormat="1" ht="126" x14ac:dyDescent="0.25">
      <c r="A79" s="2"/>
      <c r="B79" s="2" t="s">
        <v>254</v>
      </c>
      <c r="C79" s="21" t="s">
        <v>255</v>
      </c>
      <c r="D79" s="3">
        <v>2020</v>
      </c>
      <c r="E79" s="356" t="s">
        <v>4</v>
      </c>
      <c r="F79" s="21" t="s">
        <v>51</v>
      </c>
      <c r="G79" s="3" t="s">
        <v>256</v>
      </c>
      <c r="H79" s="3" t="s">
        <v>47</v>
      </c>
      <c r="I79" s="3" t="s">
        <v>113</v>
      </c>
      <c r="J79" s="3" t="s">
        <v>257</v>
      </c>
      <c r="K79" s="3" t="s">
        <v>258</v>
      </c>
      <c r="L79" s="7" t="s">
        <v>107</v>
      </c>
      <c r="M79" s="3" t="s">
        <v>47</v>
      </c>
      <c r="N79" s="3" t="s">
        <v>81</v>
      </c>
      <c r="O79" s="3" t="s">
        <v>259</v>
      </c>
      <c r="P79" s="3" t="s">
        <v>88</v>
      </c>
      <c r="Q79" s="3" t="s">
        <v>56</v>
      </c>
      <c r="R79" s="3" t="s">
        <v>47</v>
      </c>
      <c r="S79" s="3" t="s">
        <v>53</v>
      </c>
      <c r="T79" s="3" t="s">
        <v>53</v>
      </c>
      <c r="U79" s="3" t="s">
        <v>53</v>
      </c>
      <c r="V79" s="4" t="s">
        <v>471</v>
      </c>
      <c r="W79" s="302">
        <f>'Industries data'!AB4</f>
        <v>17.043696239069281</v>
      </c>
      <c r="AE79" s="322"/>
      <c r="AF79" s="2"/>
    </row>
    <row r="80" spans="1:32" s="34" customFormat="1" ht="126" x14ac:dyDescent="0.25">
      <c r="A80" s="2"/>
      <c r="B80" s="2" t="s">
        <v>261</v>
      </c>
      <c r="C80" s="21" t="s">
        <v>255</v>
      </c>
      <c r="D80" s="3">
        <v>2019</v>
      </c>
      <c r="E80" s="356" t="s">
        <v>4</v>
      </c>
      <c r="F80" s="21" t="s">
        <v>51</v>
      </c>
      <c r="G80" s="3" t="s">
        <v>256</v>
      </c>
      <c r="H80" s="3" t="s">
        <v>47</v>
      </c>
      <c r="I80" s="3" t="s">
        <v>113</v>
      </c>
      <c r="J80" s="3" t="s">
        <v>257</v>
      </c>
      <c r="K80" s="3" t="s">
        <v>258</v>
      </c>
      <c r="L80" s="7" t="s">
        <v>107</v>
      </c>
      <c r="M80" s="3" t="s">
        <v>47</v>
      </c>
      <c r="N80" s="3" t="s">
        <v>81</v>
      </c>
      <c r="O80" s="3" t="s">
        <v>259</v>
      </c>
      <c r="P80" s="3" t="s">
        <v>88</v>
      </c>
      <c r="Q80" s="3" t="s">
        <v>56</v>
      </c>
      <c r="R80" s="3" t="s">
        <v>47</v>
      </c>
      <c r="S80" s="3" t="s">
        <v>53</v>
      </c>
      <c r="T80" s="3" t="s">
        <v>53</v>
      </c>
      <c r="U80" s="3" t="s">
        <v>53</v>
      </c>
      <c r="V80" s="4" t="s">
        <v>471</v>
      </c>
      <c r="W80" s="302">
        <f>'Industries data'!AB5</f>
        <v>20.685828140192442</v>
      </c>
      <c r="AE80" s="322"/>
      <c r="AF80" s="2"/>
    </row>
    <row r="81" spans="1:32" s="34" customFormat="1" ht="31.5" x14ac:dyDescent="0.25">
      <c r="A81" s="2"/>
      <c r="B81" s="2" t="s">
        <v>262</v>
      </c>
      <c r="C81" s="21" t="s">
        <v>255</v>
      </c>
      <c r="D81" s="3">
        <v>2018</v>
      </c>
      <c r="E81" s="356" t="s">
        <v>4</v>
      </c>
      <c r="F81" s="21" t="s">
        <v>51</v>
      </c>
      <c r="G81" s="3" t="s">
        <v>256</v>
      </c>
      <c r="H81" s="3" t="s">
        <v>47</v>
      </c>
      <c r="I81" s="3" t="s">
        <v>113</v>
      </c>
      <c r="J81" s="3" t="s">
        <v>257</v>
      </c>
      <c r="K81" s="3" t="s">
        <v>258</v>
      </c>
      <c r="L81" s="7" t="s">
        <v>107</v>
      </c>
      <c r="M81" s="3" t="s">
        <v>47</v>
      </c>
      <c r="N81" s="3" t="s">
        <v>81</v>
      </c>
      <c r="O81" s="3" t="s">
        <v>259</v>
      </c>
      <c r="P81" s="3" t="s">
        <v>88</v>
      </c>
      <c r="Q81" s="3" t="s">
        <v>56</v>
      </c>
      <c r="R81" s="3" t="s">
        <v>47</v>
      </c>
      <c r="S81" s="3" t="s">
        <v>53</v>
      </c>
      <c r="T81" s="3" t="s">
        <v>53</v>
      </c>
      <c r="U81" s="3" t="s">
        <v>53</v>
      </c>
      <c r="V81" s="4" t="s">
        <v>472</v>
      </c>
      <c r="W81" s="302">
        <f>'Industries data'!AB6</f>
        <v>20.992120235216781</v>
      </c>
      <c r="AE81" s="322"/>
      <c r="AF81" s="2"/>
    </row>
    <row r="82" spans="1:32" s="34" customFormat="1" ht="126" x14ac:dyDescent="0.25">
      <c r="A82" s="2"/>
      <c r="B82" s="2" t="s">
        <v>263</v>
      </c>
      <c r="C82" s="21" t="s">
        <v>255</v>
      </c>
      <c r="D82" s="3">
        <v>2017</v>
      </c>
      <c r="E82" s="356" t="s">
        <v>4</v>
      </c>
      <c r="F82" s="21" t="s">
        <v>51</v>
      </c>
      <c r="G82" s="3" t="s">
        <v>256</v>
      </c>
      <c r="H82" s="3" t="s">
        <v>47</v>
      </c>
      <c r="I82" s="3" t="s">
        <v>113</v>
      </c>
      <c r="J82" s="3" t="s">
        <v>257</v>
      </c>
      <c r="K82" s="3" t="s">
        <v>258</v>
      </c>
      <c r="L82" s="7" t="s">
        <v>107</v>
      </c>
      <c r="M82" s="3" t="s">
        <v>47</v>
      </c>
      <c r="N82" s="3" t="s">
        <v>81</v>
      </c>
      <c r="O82" s="3" t="s">
        <v>259</v>
      </c>
      <c r="P82" s="3" t="s">
        <v>88</v>
      </c>
      <c r="Q82" s="3" t="s">
        <v>56</v>
      </c>
      <c r="R82" s="3" t="s">
        <v>47</v>
      </c>
      <c r="S82" s="3" t="s">
        <v>53</v>
      </c>
      <c r="T82" s="3" t="s">
        <v>53</v>
      </c>
      <c r="U82" s="3" t="s">
        <v>53</v>
      </c>
      <c r="V82" s="4" t="s">
        <v>471</v>
      </c>
      <c r="W82" s="302">
        <f>'Industries data'!AB7</f>
        <v>21.364351541093999</v>
      </c>
      <c r="AE82" s="322"/>
      <c r="AF82" s="2"/>
    </row>
    <row r="83" spans="1:32" s="34" customFormat="1" ht="126" x14ac:dyDescent="0.25">
      <c r="A83" s="2"/>
      <c r="B83" s="2" t="s">
        <v>264</v>
      </c>
      <c r="C83" s="21" t="s">
        <v>255</v>
      </c>
      <c r="D83" s="3">
        <v>2016</v>
      </c>
      <c r="E83" s="356" t="s">
        <v>4</v>
      </c>
      <c r="F83" s="21" t="s">
        <v>51</v>
      </c>
      <c r="G83" s="3" t="s">
        <v>256</v>
      </c>
      <c r="H83" s="3" t="s">
        <v>47</v>
      </c>
      <c r="I83" s="3" t="s">
        <v>113</v>
      </c>
      <c r="J83" s="3" t="s">
        <v>257</v>
      </c>
      <c r="K83" s="3" t="s">
        <v>258</v>
      </c>
      <c r="L83" s="7" t="s">
        <v>107</v>
      </c>
      <c r="M83" s="3" t="s">
        <v>47</v>
      </c>
      <c r="N83" s="3" t="s">
        <v>81</v>
      </c>
      <c r="O83" s="3" t="s">
        <v>259</v>
      </c>
      <c r="P83" s="3" t="s">
        <v>88</v>
      </c>
      <c r="Q83" s="3" t="s">
        <v>56</v>
      </c>
      <c r="R83" s="3" t="s">
        <v>47</v>
      </c>
      <c r="S83" s="3" t="s">
        <v>53</v>
      </c>
      <c r="T83" s="3" t="s">
        <v>53</v>
      </c>
      <c r="U83" s="3" t="s">
        <v>53</v>
      </c>
      <c r="V83" s="4" t="s">
        <v>471</v>
      </c>
      <c r="W83" s="302">
        <f>'Industries data'!AB8</f>
        <v>21.031618953908549</v>
      </c>
      <c r="AE83" s="322"/>
      <c r="AF83" s="2"/>
    </row>
    <row r="84" spans="1:32" s="34" customFormat="1" ht="126" x14ac:dyDescent="0.25">
      <c r="A84" s="2"/>
      <c r="B84" s="2" t="s">
        <v>265</v>
      </c>
      <c r="C84" s="21" t="s">
        <v>255</v>
      </c>
      <c r="D84" s="3">
        <v>2015</v>
      </c>
      <c r="E84" s="356" t="s">
        <v>4</v>
      </c>
      <c r="F84" s="21" t="s">
        <v>51</v>
      </c>
      <c r="G84" s="3" t="s">
        <v>256</v>
      </c>
      <c r="H84" s="3" t="s">
        <v>47</v>
      </c>
      <c r="I84" s="3" t="s">
        <v>113</v>
      </c>
      <c r="J84" s="3" t="s">
        <v>257</v>
      </c>
      <c r="K84" s="3" t="s">
        <v>258</v>
      </c>
      <c r="L84" s="7" t="s">
        <v>107</v>
      </c>
      <c r="M84" s="3" t="s">
        <v>47</v>
      </c>
      <c r="N84" s="3" t="s">
        <v>81</v>
      </c>
      <c r="O84" s="3" t="s">
        <v>259</v>
      </c>
      <c r="P84" s="3" t="s">
        <v>88</v>
      </c>
      <c r="Q84" s="3" t="s">
        <v>56</v>
      </c>
      <c r="R84" s="3" t="s">
        <v>47</v>
      </c>
      <c r="S84" s="3" t="s">
        <v>53</v>
      </c>
      <c r="T84" s="3" t="s">
        <v>53</v>
      </c>
      <c r="U84" s="3" t="s">
        <v>53</v>
      </c>
      <c r="V84" s="4" t="s">
        <v>471</v>
      </c>
      <c r="W84" s="302">
        <f>'Industries data'!AB9</f>
        <v>21.594909936575856</v>
      </c>
      <c r="AE84" s="322"/>
      <c r="AF84" s="2"/>
    </row>
    <row r="85" spans="1:32" s="34" customFormat="1" ht="126" x14ac:dyDescent="0.25">
      <c r="A85" s="2"/>
      <c r="B85" s="2" t="s">
        <v>266</v>
      </c>
      <c r="C85" s="21" t="s">
        <v>255</v>
      </c>
      <c r="D85" s="3">
        <v>2014</v>
      </c>
      <c r="E85" s="356" t="s">
        <v>4</v>
      </c>
      <c r="F85" s="21" t="s">
        <v>51</v>
      </c>
      <c r="G85" s="3" t="s">
        <v>256</v>
      </c>
      <c r="H85" s="3" t="s">
        <v>47</v>
      </c>
      <c r="I85" s="3" t="s">
        <v>113</v>
      </c>
      <c r="J85" s="3" t="s">
        <v>257</v>
      </c>
      <c r="K85" s="3" t="s">
        <v>258</v>
      </c>
      <c r="L85" s="7" t="s">
        <v>107</v>
      </c>
      <c r="M85" s="3" t="s">
        <v>47</v>
      </c>
      <c r="N85" s="3" t="s">
        <v>81</v>
      </c>
      <c r="O85" s="3" t="s">
        <v>259</v>
      </c>
      <c r="P85" s="3" t="s">
        <v>88</v>
      </c>
      <c r="Q85" s="3" t="s">
        <v>56</v>
      </c>
      <c r="R85" s="3" t="s">
        <v>47</v>
      </c>
      <c r="S85" s="3" t="s">
        <v>53</v>
      </c>
      <c r="T85" s="3" t="s">
        <v>53</v>
      </c>
      <c r="U85" s="3" t="s">
        <v>53</v>
      </c>
      <c r="V85" s="4" t="s">
        <v>471</v>
      </c>
      <c r="W85" s="302">
        <f>'Industries data'!AB10</f>
        <v>22.537108616199831</v>
      </c>
      <c r="AE85" s="322"/>
      <c r="AF85" s="2"/>
    </row>
    <row r="86" spans="1:32" s="344" customFormat="1" x14ac:dyDescent="0.25">
      <c r="A86" s="327"/>
      <c r="B86" s="327"/>
      <c r="C86" s="328"/>
      <c r="D86" s="328"/>
      <c r="E86" s="354"/>
      <c r="F86" s="328"/>
      <c r="G86" s="328"/>
      <c r="H86" s="328"/>
      <c r="I86" s="328"/>
      <c r="J86" s="328"/>
      <c r="K86" s="328"/>
      <c r="L86" s="342"/>
      <c r="M86" s="328"/>
      <c r="N86" s="328"/>
      <c r="O86" s="328"/>
      <c r="P86" s="328"/>
      <c r="Q86" s="328"/>
      <c r="R86" s="328"/>
      <c r="S86" s="328"/>
      <c r="T86" s="328"/>
      <c r="U86" s="328"/>
      <c r="V86" s="330"/>
      <c r="W86" s="338"/>
      <c r="X86" s="327"/>
      <c r="Y86" s="327"/>
      <c r="Z86" s="327"/>
      <c r="AA86" s="327"/>
      <c r="AB86" s="327"/>
      <c r="AC86" s="327"/>
      <c r="AD86" s="327"/>
      <c r="AE86" s="327"/>
      <c r="AF86" s="327"/>
    </row>
    <row r="87" spans="1:32" s="34" customFormat="1" ht="141.75" x14ac:dyDescent="0.25">
      <c r="A87" s="2"/>
      <c r="B87" s="2" t="s">
        <v>270</v>
      </c>
      <c r="C87" s="21" t="s">
        <v>271</v>
      </c>
      <c r="D87" s="3">
        <v>2020</v>
      </c>
      <c r="E87" s="81" t="s">
        <v>4</v>
      </c>
      <c r="F87" s="21" t="s">
        <v>51</v>
      </c>
      <c r="G87" s="3" t="s">
        <v>256</v>
      </c>
      <c r="H87" s="3" t="s">
        <v>47</v>
      </c>
      <c r="I87" s="3" t="s">
        <v>113</v>
      </c>
      <c r="J87" s="3" t="s">
        <v>257</v>
      </c>
      <c r="K87" s="3" t="s">
        <v>258</v>
      </c>
      <c r="L87" s="7" t="s">
        <v>107</v>
      </c>
      <c r="M87" s="3" t="s">
        <v>47</v>
      </c>
      <c r="N87" s="3" t="s">
        <v>81</v>
      </c>
      <c r="O87" s="3" t="s">
        <v>259</v>
      </c>
      <c r="P87" s="3" t="s">
        <v>88</v>
      </c>
      <c r="Q87" s="3" t="s">
        <v>56</v>
      </c>
      <c r="R87" s="3" t="s">
        <v>47</v>
      </c>
      <c r="S87" s="3" t="s">
        <v>53</v>
      </c>
      <c r="T87" s="3" t="s">
        <v>53</v>
      </c>
      <c r="U87" s="3" t="s">
        <v>53</v>
      </c>
      <c r="V87" s="4" t="s">
        <v>473</v>
      </c>
      <c r="W87" s="302">
        <f>'Industries data'!AB15</f>
        <v>28.536136692654701</v>
      </c>
      <c r="AE87" s="322"/>
      <c r="AF87" s="2"/>
    </row>
    <row r="88" spans="1:32" s="34" customFormat="1" ht="141.75" x14ac:dyDescent="0.25">
      <c r="A88" s="2"/>
      <c r="B88" s="2" t="s">
        <v>273</v>
      </c>
      <c r="C88" s="21" t="s">
        <v>271</v>
      </c>
      <c r="D88" s="3">
        <v>2019</v>
      </c>
      <c r="E88" s="81" t="s">
        <v>4</v>
      </c>
      <c r="F88" s="21" t="s">
        <v>51</v>
      </c>
      <c r="G88" s="3" t="s">
        <v>256</v>
      </c>
      <c r="H88" s="3" t="s">
        <v>47</v>
      </c>
      <c r="I88" s="3" t="s">
        <v>113</v>
      </c>
      <c r="J88" s="3" t="s">
        <v>257</v>
      </c>
      <c r="K88" s="3" t="s">
        <v>258</v>
      </c>
      <c r="L88" s="7" t="s">
        <v>107</v>
      </c>
      <c r="M88" s="3" t="s">
        <v>47</v>
      </c>
      <c r="N88" s="3" t="s">
        <v>81</v>
      </c>
      <c r="O88" s="3" t="s">
        <v>259</v>
      </c>
      <c r="P88" s="3" t="s">
        <v>88</v>
      </c>
      <c r="Q88" s="3" t="s">
        <v>56</v>
      </c>
      <c r="R88" s="3" t="s">
        <v>47</v>
      </c>
      <c r="S88" s="3" t="s">
        <v>53</v>
      </c>
      <c r="T88" s="3" t="s">
        <v>53</v>
      </c>
      <c r="U88" s="3" t="s">
        <v>53</v>
      </c>
      <c r="V88" s="4" t="s">
        <v>473</v>
      </c>
      <c r="W88" s="302">
        <f>'Industries data'!AB16</f>
        <v>23.722018394163538</v>
      </c>
      <c r="AE88" s="322"/>
      <c r="AF88" s="2"/>
    </row>
    <row r="89" spans="1:32" s="34" customFormat="1" ht="141.75" x14ac:dyDescent="0.25">
      <c r="A89" s="2"/>
      <c r="B89" s="2" t="s">
        <v>274</v>
      </c>
      <c r="C89" s="21" t="s">
        <v>271</v>
      </c>
      <c r="D89" s="3">
        <v>2018</v>
      </c>
      <c r="E89" s="81" t="s">
        <v>4</v>
      </c>
      <c r="F89" s="21" t="s">
        <v>51</v>
      </c>
      <c r="G89" s="3" t="s">
        <v>256</v>
      </c>
      <c r="H89" s="3" t="s">
        <v>47</v>
      </c>
      <c r="I89" s="3" t="s">
        <v>113</v>
      </c>
      <c r="J89" s="3" t="s">
        <v>257</v>
      </c>
      <c r="K89" s="3" t="s">
        <v>258</v>
      </c>
      <c r="L89" s="7" t="s">
        <v>107</v>
      </c>
      <c r="M89" s="3" t="s">
        <v>47</v>
      </c>
      <c r="N89" s="3" t="s">
        <v>81</v>
      </c>
      <c r="O89" s="3" t="s">
        <v>259</v>
      </c>
      <c r="P89" s="3" t="s">
        <v>88</v>
      </c>
      <c r="Q89" s="3" t="s">
        <v>56</v>
      </c>
      <c r="R89" s="3" t="s">
        <v>47</v>
      </c>
      <c r="S89" s="3" t="s">
        <v>53</v>
      </c>
      <c r="T89" s="3" t="s">
        <v>53</v>
      </c>
      <c r="U89" s="3" t="s">
        <v>53</v>
      </c>
      <c r="V89" s="4" t="s">
        <v>474</v>
      </c>
      <c r="W89" s="302">
        <f>'Industries data'!AB17</f>
        <v>22.842966564317187</v>
      </c>
      <c r="AE89" s="322"/>
      <c r="AF89" s="2"/>
    </row>
    <row r="90" spans="1:32" s="34" customFormat="1" ht="141.75" x14ac:dyDescent="0.25">
      <c r="A90" s="2"/>
      <c r="B90" s="2" t="s">
        <v>276</v>
      </c>
      <c r="C90" s="21" t="s">
        <v>271</v>
      </c>
      <c r="D90" s="7">
        <v>2017</v>
      </c>
      <c r="E90" s="81" t="s">
        <v>4</v>
      </c>
      <c r="F90" s="21" t="s">
        <v>51</v>
      </c>
      <c r="G90" s="3" t="s">
        <v>256</v>
      </c>
      <c r="H90" s="3" t="s">
        <v>47</v>
      </c>
      <c r="I90" s="3" t="s">
        <v>113</v>
      </c>
      <c r="J90" s="3" t="s">
        <v>257</v>
      </c>
      <c r="K90" s="3" t="s">
        <v>258</v>
      </c>
      <c r="L90" s="7" t="s">
        <v>107</v>
      </c>
      <c r="M90" s="3" t="s">
        <v>47</v>
      </c>
      <c r="N90" s="3" t="s">
        <v>81</v>
      </c>
      <c r="O90" s="3" t="s">
        <v>259</v>
      </c>
      <c r="P90" s="3" t="s">
        <v>88</v>
      </c>
      <c r="Q90" s="3" t="s">
        <v>56</v>
      </c>
      <c r="R90" s="3" t="s">
        <v>47</v>
      </c>
      <c r="S90" s="3" t="s">
        <v>53</v>
      </c>
      <c r="T90" s="3" t="s">
        <v>53</v>
      </c>
      <c r="U90" s="3" t="s">
        <v>53</v>
      </c>
      <c r="V90" s="4" t="s">
        <v>475</v>
      </c>
      <c r="W90" s="302">
        <f>'Industries data'!AB18</f>
        <v>20.572514130045658</v>
      </c>
      <c r="AE90" s="322"/>
      <c r="AF90" s="2"/>
    </row>
    <row r="91" spans="1:32" s="34" customFormat="1" ht="141.75" x14ac:dyDescent="0.25">
      <c r="A91" s="2"/>
      <c r="B91" s="2" t="s">
        <v>278</v>
      </c>
      <c r="C91" s="21" t="s">
        <v>271</v>
      </c>
      <c r="D91" s="3">
        <v>2016</v>
      </c>
      <c r="E91" s="81" t="s">
        <v>4</v>
      </c>
      <c r="F91" s="21" t="s">
        <v>51</v>
      </c>
      <c r="G91" s="3" t="s">
        <v>256</v>
      </c>
      <c r="H91" s="3" t="s">
        <v>47</v>
      </c>
      <c r="I91" s="3" t="s">
        <v>113</v>
      </c>
      <c r="J91" s="3" t="s">
        <v>257</v>
      </c>
      <c r="K91" s="3" t="s">
        <v>258</v>
      </c>
      <c r="L91" s="7" t="s">
        <v>107</v>
      </c>
      <c r="M91" s="3" t="s">
        <v>47</v>
      </c>
      <c r="N91" s="3" t="s">
        <v>81</v>
      </c>
      <c r="O91" s="3" t="s">
        <v>259</v>
      </c>
      <c r="P91" s="3" t="s">
        <v>88</v>
      </c>
      <c r="Q91" s="3" t="s">
        <v>56</v>
      </c>
      <c r="R91" s="3" t="s">
        <v>47</v>
      </c>
      <c r="S91" s="3" t="s">
        <v>53</v>
      </c>
      <c r="T91" s="3" t="s">
        <v>53</v>
      </c>
      <c r="U91" s="3" t="s">
        <v>53</v>
      </c>
      <c r="V91" s="4" t="s">
        <v>476</v>
      </c>
      <c r="W91" s="302">
        <f>'Industries data'!AB19</f>
        <v>20.238868375985028</v>
      </c>
      <c r="AE91" s="322"/>
      <c r="AF91" s="2"/>
    </row>
    <row r="92" spans="1:32" s="34" customFormat="1" ht="141.75" x14ac:dyDescent="0.25">
      <c r="A92" s="2"/>
      <c r="B92" s="2" t="s">
        <v>280</v>
      </c>
      <c r="C92" s="21" t="s">
        <v>271</v>
      </c>
      <c r="D92" s="3">
        <v>2015</v>
      </c>
      <c r="E92" s="81" t="s">
        <v>4</v>
      </c>
      <c r="F92" s="21" t="s">
        <v>51</v>
      </c>
      <c r="G92" s="3" t="s">
        <v>256</v>
      </c>
      <c r="H92" s="3" t="s">
        <v>47</v>
      </c>
      <c r="I92" s="3" t="s">
        <v>113</v>
      </c>
      <c r="J92" s="3" t="s">
        <v>257</v>
      </c>
      <c r="K92" s="3" t="s">
        <v>258</v>
      </c>
      <c r="L92" s="7" t="s">
        <v>107</v>
      </c>
      <c r="M92" s="3" t="s">
        <v>47</v>
      </c>
      <c r="N92" s="3" t="s">
        <v>81</v>
      </c>
      <c r="O92" s="3" t="s">
        <v>259</v>
      </c>
      <c r="P92" s="3" t="s">
        <v>88</v>
      </c>
      <c r="Q92" s="3" t="s">
        <v>56</v>
      </c>
      <c r="R92" s="3" t="s">
        <v>47</v>
      </c>
      <c r="S92" s="3" t="s">
        <v>53</v>
      </c>
      <c r="T92" s="3" t="s">
        <v>53</v>
      </c>
      <c r="U92" s="3" t="s">
        <v>53</v>
      </c>
      <c r="V92" s="4" t="s">
        <v>476</v>
      </c>
      <c r="W92" s="302">
        <f>'Industries data'!AB20</f>
        <v>20.220255588414101</v>
      </c>
      <c r="AE92" s="322"/>
      <c r="AF92" s="2"/>
    </row>
    <row r="93" spans="1:32" s="34" customFormat="1" ht="141.75" x14ac:dyDescent="0.25">
      <c r="A93" s="2"/>
      <c r="B93" s="2" t="s">
        <v>281</v>
      </c>
      <c r="C93" s="21" t="s">
        <v>271</v>
      </c>
      <c r="D93" s="3">
        <v>2014</v>
      </c>
      <c r="E93" s="81" t="s">
        <v>4</v>
      </c>
      <c r="F93" s="21" t="s">
        <v>51</v>
      </c>
      <c r="G93" s="3" t="s">
        <v>256</v>
      </c>
      <c r="H93" s="3" t="s">
        <v>47</v>
      </c>
      <c r="I93" s="3" t="s">
        <v>113</v>
      </c>
      <c r="J93" s="3" t="s">
        <v>257</v>
      </c>
      <c r="K93" s="3" t="s">
        <v>258</v>
      </c>
      <c r="L93" s="7" t="s">
        <v>107</v>
      </c>
      <c r="M93" s="3" t="s">
        <v>47</v>
      </c>
      <c r="N93" s="3" t="s">
        <v>81</v>
      </c>
      <c r="O93" s="3" t="s">
        <v>259</v>
      </c>
      <c r="P93" s="3" t="s">
        <v>88</v>
      </c>
      <c r="Q93" s="3" t="s">
        <v>56</v>
      </c>
      <c r="R93" s="3" t="s">
        <v>47</v>
      </c>
      <c r="S93" s="3" t="s">
        <v>53</v>
      </c>
      <c r="T93" s="3" t="s">
        <v>53</v>
      </c>
      <c r="U93" s="3" t="s">
        <v>53</v>
      </c>
      <c r="V93" s="4" t="s">
        <v>477</v>
      </c>
      <c r="W93" s="302">
        <f>'Industries data'!AB21</f>
        <v>17.345425944504846</v>
      </c>
      <c r="AE93" s="322"/>
      <c r="AF93" s="2"/>
    </row>
    <row r="94" spans="1:32" s="34" customFormat="1" ht="141.75" x14ac:dyDescent="0.25">
      <c r="A94" s="2"/>
      <c r="B94" s="2" t="s">
        <v>283</v>
      </c>
      <c r="C94" s="21" t="s">
        <v>271</v>
      </c>
      <c r="D94" s="3">
        <v>2013</v>
      </c>
      <c r="E94" s="81" t="s">
        <v>4</v>
      </c>
      <c r="F94" s="21" t="s">
        <v>51</v>
      </c>
      <c r="G94" s="3" t="s">
        <v>256</v>
      </c>
      <c r="H94" s="3" t="s">
        <v>47</v>
      </c>
      <c r="I94" s="3" t="s">
        <v>113</v>
      </c>
      <c r="J94" s="3" t="s">
        <v>257</v>
      </c>
      <c r="K94" s="3" t="s">
        <v>258</v>
      </c>
      <c r="L94" s="7" t="s">
        <v>107</v>
      </c>
      <c r="M94" s="3" t="s">
        <v>47</v>
      </c>
      <c r="N94" s="3" t="s">
        <v>81</v>
      </c>
      <c r="O94" s="3" t="s">
        <v>259</v>
      </c>
      <c r="P94" s="3" t="s">
        <v>88</v>
      </c>
      <c r="Q94" s="3" t="s">
        <v>56</v>
      </c>
      <c r="R94" s="3" t="s">
        <v>47</v>
      </c>
      <c r="S94" s="3" t="s">
        <v>53</v>
      </c>
      <c r="T94" s="3" t="s">
        <v>53</v>
      </c>
      <c r="U94" s="3" t="s">
        <v>53</v>
      </c>
      <c r="V94" s="4" t="s">
        <v>478</v>
      </c>
      <c r="W94" s="302">
        <f>'Industries data'!AB22</f>
        <v>16.129194920550191</v>
      </c>
      <c r="AE94" s="322"/>
      <c r="AF94" s="2"/>
    </row>
    <row r="95" spans="1:32" s="34" customFormat="1" ht="141.75" x14ac:dyDescent="0.25">
      <c r="A95" s="2"/>
      <c r="B95" s="2" t="s">
        <v>284</v>
      </c>
      <c r="C95" s="21" t="s">
        <v>271</v>
      </c>
      <c r="D95" s="3">
        <v>2012</v>
      </c>
      <c r="E95" s="81" t="s">
        <v>4</v>
      </c>
      <c r="F95" s="21" t="s">
        <v>51</v>
      </c>
      <c r="G95" s="3" t="s">
        <v>256</v>
      </c>
      <c r="H95" s="3" t="s">
        <v>47</v>
      </c>
      <c r="I95" s="3" t="s">
        <v>113</v>
      </c>
      <c r="J95" s="3" t="s">
        <v>257</v>
      </c>
      <c r="K95" s="3" t="s">
        <v>258</v>
      </c>
      <c r="L95" s="7" t="s">
        <v>107</v>
      </c>
      <c r="M95" s="3" t="s">
        <v>47</v>
      </c>
      <c r="N95" s="3" t="s">
        <v>81</v>
      </c>
      <c r="O95" s="3" t="s">
        <v>259</v>
      </c>
      <c r="P95" s="3" t="s">
        <v>88</v>
      </c>
      <c r="Q95" s="3" t="s">
        <v>56</v>
      </c>
      <c r="R95" s="3" t="s">
        <v>47</v>
      </c>
      <c r="S95" s="3" t="s">
        <v>53</v>
      </c>
      <c r="T95" s="3" t="s">
        <v>53</v>
      </c>
      <c r="U95" s="3" t="s">
        <v>53</v>
      </c>
      <c r="V95" s="4" t="s">
        <v>477</v>
      </c>
      <c r="W95" s="302">
        <f>'Industries data'!AB23</f>
        <v>16.939655890754885</v>
      </c>
      <c r="AE95" s="322"/>
      <c r="AF95" s="2"/>
    </row>
    <row r="96" spans="1:32" s="34" customFormat="1" ht="141.75" x14ac:dyDescent="0.25">
      <c r="A96" s="2"/>
      <c r="B96" s="2" t="s">
        <v>286</v>
      </c>
      <c r="C96" s="21" t="s">
        <v>271</v>
      </c>
      <c r="D96" s="3">
        <v>2011</v>
      </c>
      <c r="E96" s="81" t="s">
        <v>4</v>
      </c>
      <c r="F96" s="21" t="s">
        <v>51</v>
      </c>
      <c r="G96" s="3" t="s">
        <v>256</v>
      </c>
      <c r="H96" s="3" t="s">
        <v>47</v>
      </c>
      <c r="I96" s="3" t="s">
        <v>113</v>
      </c>
      <c r="J96" s="3" t="s">
        <v>257</v>
      </c>
      <c r="K96" s="3" t="s">
        <v>258</v>
      </c>
      <c r="L96" s="7" t="s">
        <v>107</v>
      </c>
      <c r="M96" s="3" t="s">
        <v>47</v>
      </c>
      <c r="N96" s="3" t="s">
        <v>81</v>
      </c>
      <c r="O96" s="3" t="s">
        <v>259</v>
      </c>
      <c r="P96" s="3" t="s">
        <v>88</v>
      </c>
      <c r="Q96" s="3" t="s">
        <v>56</v>
      </c>
      <c r="R96" s="3" t="s">
        <v>47</v>
      </c>
      <c r="S96" s="3" t="s">
        <v>53</v>
      </c>
      <c r="T96" s="3" t="s">
        <v>53</v>
      </c>
      <c r="U96" s="3" t="s">
        <v>53</v>
      </c>
      <c r="V96" s="4" t="s">
        <v>478</v>
      </c>
      <c r="W96" s="302">
        <f>'Industries data'!AB24</f>
        <v>15.220737782704756</v>
      </c>
      <c r="AE96" s="322"/>
      <c r="AF96" s="2"/>
    </row>
    <row r="97" spans="1:32" s="34" customFormat="1" ht="141.75" x14ac:dyDescent="0.25">
      <c r="A97" s="2"/>
      <c r="B97" s="2" t="s">
        <v>287</v>
      </c>
      <c r="C97" s="21" t="s">
        <v>271</v>
      </c>
      <c r="D97" s="3">
        <v>2010</v>
      </c>
      <c r="E97" s="81" t="s">
        <v>4</v>
      </c>
      <c r="F97" s="21" t="s">
        <v>51</v>
      </c>
      <c r="G97" s="3" t="s">
        <v>256</v>
      </c>
      <c r="H97" s="3" t="s">
        <v>47</v>
      </c>
      <c r="I97" s="3" t="s">
        <v>113</v>
      </c>
      <c r="J97" s="3" t="s">
        <v>257</v>
      </c>
      <c r="K97" s="3" t="s">
        <v>258</v>
      </c>
      <c r="L97" s="7" t="s">
        <v>107</v>
      </c>
      <c r="M97" s="3" t="s">
        <v>47</v>
      </c>
      <c r="N97" s="3" t="s">
        <v>81</v>
      </c>
      <c r="O97" s="3" t="s">
        <v>259</v>
      </c>
      <c r="P97" s="3" t="s">
        <v>88</v>
      </c>
      <c r="Q97" s="3" t="s">
        <v>56</v>
      </c>
      <c r="R97" s="3" t="s">
        <v>47</v>
      </c>
      <c r="S97" s="3" t="s">
        <v>53</v>
      </c>
      <c r="T97" s="3" t="s">
        <v>53</v>
      </c>
      <c r="U97" s="3" t="s">
        <v>53</v>
      </c>
      <c r="V97" s="4" t="s">
        <v>479</v>
      </c>
      <c r="W97" s="302">
        <f>'Industries data'!AB25</f>
        <v>15.686409445870925</v>
      </c>
      <c r="AE97" s="322"/>
      <c r="AF97" s="2"/>
    </row>
    <row r="98" spans="1:32" s="344" customFormat="1" x14ac:dyDescent="0.25">
      <c r="A98" s="327"/>
      <c r="B98" s="327"/>
      <c r="C98" s="328"/>
      <c r="D98" s="328"/>
      <c r="E98" s="354"/>
      <c r="F98" s="328"/>
      <c r="G98" s="328"/>
      <c r="H98" s="328"/>
      <c r="I98" s="328"/>
      <c r="J98" s="328"/>
      <c r="K98" s="328"/>
      <c r="L98" s="342"/>
      <c r="M98" s="328"/>
      <c r="N98" s="328"/>
      <c r="O98" s="328"/>
      <c r="P98" s="328"/>
      <c r="Q98" s="328"/>
      <c r="R98" s="328"/>
      <c r="S98" s="328"/>
      <c r="T98" s="328"/>
      <c r="U98" s="328"/>
      <c r="V98" s="330"/>
      <c r="W98" s="338"/>
      <c r="X98" s="327"/>
      <c r="Y98" s="327"/>
      <c r="Z98" s="327"/>
      <c r="AA98" s="327"/>
      <c r="AB98" s="327"/>
      <c r="AC98" s="327"/>
      <c r="AD98" s="327"/>
      <c r="AE98" s="327"/>
      <c r="AF98" s="327"/>
    </row>
    <row r="99" spans="1:32" s="34" customFormat="1" ht="126" x14ac:dyDescent="0.25">
      <c r="A99" s="2"/>
      <c r="B99" s="2" t="s">
        <v>289</v>
      </c>
      <c r="C99" s="3" t="s">
        <v>290</v>
      </c>
      <c r="D99" s="3">
        <v>2020</v>
      </c>
      <c r="E99" s="81" t="s">
        <v>4</v>
      </c>
      <c r="F99" s="3" t="s">
        <v>51</v>
      </c>
      <c r="G99" s="3" t="s">
        <v>256</v>
      </c>
      <c r="H99" s="3" t="s">
        <v>47</v>
      </c>
      <c r="I99" s="3" t="s">
        <v>113</v>
      </c>
      <c r="J99" s="3" t="s">
        <v>58</v>
      </c>
      <c r="K99" s="3" t="s">
        <v>257</v>
      </c>
      <c r="L99" s="7" t="s">
        <v>107</v>
      </c>
      <c r="M99" s="3" t="s">
        <v>47</v>
      </c>
      <c r="N99" s="3" t="s">
        <v>81</v>
      </c>
      <c r="O99" s="3" t="s">
        <v>449</v>
      </c>
      <c r="P99" s="3" t="s">
        <v>88</v>
      </c>
      <c r="Q99" s="3" t="s">
        <v>56</v>
      </c>
      <c r="R99" s="3" t="s">
        <v>47</v>
      </c>
      <c r="S99" s="3" t="s">
        <v>53</v>
      </c>
      <c r="T99" s="3" t="s">
        <v>53</v>
      </c>
      <c r="U99" s="3" t="s">
        <v>53</v>
      </c>
      <c r="V99" s="4" t="s">
        <v>480</v>
      </c>
      <c r="W99" s="302">
        <f>'Industries data'!AB27</f>
        <v>19.282499105260911</v>
      </c>
      <c r="AE99" s="322"/>
      <c r="AF99" s="2"/>
    </row>
    <row r="100" spans="1:32" s="34" customFormat="1" ht="126" x14ac:dyDescent="0.25">
      <c r="A100" s="2"/>
      <c r="B100" s="2" t="s">
        <v>293</v>
      </c>
      <c r="C100" s="3" t="s">
        <v>290</v>
      </c>
      <c r="D100" s="3">
        <v>2019</v>
      </c>
      <c r="E100" s="81" t="s">
        <v>4</v>
      </c>
      <c r="F100" s="3" t="s">
        <v>51</v>
      </c>
      <c r="G100" s="3" t="s">
        <v>256</v>
      </c>
      <c r="H100" s="3" t="s">
        <v>47</v>
      </c>
      <c r="I100" s="3" t="s">
        <v>113</v>
      </c>
      <c r="J100" s="3" t="s">
        <v>58</v>
      </c>
      <c r="K100" s="3" t="s">
        <v>257</v>
      </c>
      <c r="L100" s="7" t="s">
        <v>107</v>
      </c>
      <c r="M100" s="3" t="s">
        <v>47</v>
      </c>
      <c r="N100" s="3" t="s">
        <v>81</v>
      </c>
      <c r="O100" s="3" t="s">
        <v>449</v>
      </c>
      <c r="P100" s="3" t="s">
        <v>88</v>
      </c>
      <c r="Q100" s="3" t="s">
        <v>56</v>
      </c>
      <c r="R100" s="3" t="s">
        <v>47</v>
      </c>
      <c r="S100" s="3" t="s">
        <v>53</v>
      </c>
      <c r="T100" s="3" t="s">
        <v>53</v>
      </c>
      <c r="U100" s="3" t="s">
        <v>53</v>
      </c>
      <c r="V100" s="4" t="s">
        <v>480</v>
      </c>
      <c r="W100" s="302">
        <f>'Industries data'!AB28</f>
        <v>16.527856375937922</v>
      </c>
      <c r="AE100" s="322"/>
      <c r="AF100" s="2"/>
    </row>
    <row r="101" spans="1:32" s="34" customFormat="1" ht="126" x14ac:dyDescent="0.25">
      <c r="A101" s="2"/>
      <c r="B101" s="2" t="s">
        <v>294</v>
      </c>
      <c r="C101" s="3" t="s">
        <v>290</v>
      </c>
      <c r="D101" s="3">
        <v>2018</v>
      </c>
      <c r="E101" s="81" t="s">
        <v>4</v>
      </c>
      <c r="F101" s="3" t="s">
        <v>51</v>
      </c>
      <c r="G101" s="3" t="s">
        <v>256</v>
      </c>
      <c r="H101" s="3" t="s">
        <v>47</v>
      </c>
      <c r="I101" s="3" t="s">
        <v>113</v>
      </c>
      <c r="J101" s="3" t="s">
        <v>58</v>
      </c>
      <c r="K101" s="3" t="s">
        <v>257</v>
      </c>
      <c r="L101" s="7" t="s">
        <v>107</v>
      </c>
      <c r="M101" s="3" t="s">
        <v>47</v>
      </c>
      <c r="N101" s="3" t="s">
        <v>81</v>
      </c>
      <c r="O101" s="3" t="s">
        <v>449</v>
      </c>
      <c r="P101" s="3" t="s">
        <v>88</v>
      </c>
      <c r="Q101" s="3" t="s">
        <v>56</v>
      </c>
      <c r="R101" s="3" t="s">
        <v>47</v>
      </c>
      <c r="S101" s="3" t="s">
        <v>53</v>
      </c>
      <c r="T101" s="3" t="s">
        <v>53</v>
      </c>
      <c r="U101" s="3" t="s">
        <v>53</v>
      </c>
      <c r="V101" s="4" t="s">
        <v>480</v>
      </c>
      <c r="W101" s="302">
        <f>'Industries data'!AB29</f>
        <v>15.425999284208729</v>
      </c>
      <c r="AE101" s="322"/>
      <c r="AF101" s="2"/>
    </row>
    <row r="102" spans="1:32" s="34" customFormat="1" ht="126" x14ac:dyDescent="0.25">
      <c r="A102" s="2"/>
      <c r="B102" s="2" t="s">
        <v>295</v>
      </c>
      <c r="C102" s="3" t="s">
        <v>290</v>
      </c>
      <c r="D102" s="3">
        <v>2017</v>
      </c>
      <c r="E102" s="81" t="s">
        <v>4</v>
      </c>
      <c r="F102" s="3" t="s">
        <v>51</v>
      </c>
      <c r="G102" s="3" t="s">
        <v>256</v>
      </c>
      <c r="H102" s="3" t="s">
        <v>47</v>
      </c>
      <c r="I102" s="3" t="s">
        <v>113</v>
      </c>
      <c r="J102" s="3" t="s">
        <v>58</v>
      </c>
      <c r="K102" s="3" t="s">
        <v>257</v>
      </c>
      <c r="L102" s="7" t="s">
        <v>107</v>
      </c>
      <c r="M102" s="3" t="s">
        <v>47</v>
      </c>
      <c r="N102" s="3" t="s">
        <v>81</v>
      </c>
      <c r="O102" s="3" t="s">
        <v>449</v>
      </c>
      <c r="P102" s="3" t="s">
        <v>88</v>
      </c>
      <c r="Q102" s="3" t="s">
        <v>56</v>
      </c>
      <c r="R102" s="3" t="s">
        <v>47</v>
      </c>
      <c r="S102" s="3" t="s">
        <v>53</v>
      </c>
      <c r="T102" s="3" t="s">
        <v>53</v>
      </c>
      <c r="U102" s="3" t="s">
        <v>53</v>
      </c>
      <c r="V102" s="4" t="s">
        <v>480</v>
      </c>
      <c r="W102" s="302">
        <f>'Industries data'!AB30</f>
        <v>16.160570678694857</v>
      </c>
      <c r="AE102" s="322"/>
      <c r="AF102" s="2"/>
    </row>
    <row r="103" spans="1:32" s="34" customFormat="1" ht="126" x14ac:dyDescent="0.25">
      <c r="A103" s="2"/>
      <c r="B103" s="2" t="s">
        <v>296</v>
      </c>
      <c r="C103" s="3" t="s">
        <v>290</v>
      </c>
      <c r="D103" s="3">
        <v>2016</v>
      </c>
      <c r="E103" s="81" t="s">
        <v>4</v>
      </c>
      <c r="F103" s="3" t="s">
        <v>51</v>
      </c>
      <c r="G103" s="3" t="s">
        <v>256</v>
      </c>
      <c r="H103" s="3" t="s">
        <v>47</v>
      </c>
      <c r="I103" s="3" t="s">
        <v>113</v>
      </c>
      <c r="J103" s="3" t="s">
        <v>58</v>
      </c>
      <c r="K103" s="3" t="s">
        <v>257</v>
      </c>
      <c r="L103" s="7" t="s">
        <v>107</v>
      </c>
      <c r="M103" s="3" t="s">
        <v>47</v>
      </c>
      <c r="N103" s="3" t="s">
        <v>81</v>
      </c>
      <c r="O103" s="3" t="s">
        <v>449</v>
      </c>
      <c r="P103" s="3" t="s">
        <v>88</v>
      </c>
      <c r="Q103" s="3" t="s">
        <v>56</v>
      </c>
      <c r="R103" s="3" t="s">
        <v>47</v>
      </c>
      <c r="S103" s="3" t="s">
        <v>53</v>
      </c>
      <c r="T103" s="3" t="s">
        <v>53</v>
      </c>
      <c r="U103" s="3" t="s">
        <v>53</v>
      </c>
      <c r="V103" s="4" t="s">
        <v>480</v>
      </c>
      <c r="W103" s="302">
        <f>'Industries data'!AB31</f>
        <v>18.180642013531717</v>
      </c>
      <c r="AE103" s="322"/>
      <c r="AF103" s="2"/>
    </row>
    <row r="104" spans="1:32" s="34" customFormat="1" ht="126" x14ac:dyDescent="0.25">
      <c r="A104" s="2"/>
      <c r="B104" s="2" t="s">
        <v>297</v>
      </c>
      <c r="C104" s="3" t="s">
        <v>290</v>
      </c>
      <c r="D104" s="3">
        <v>2015</v>
      </c>
      <c r="E104" s="81" t="s">
        <v>4</v>
      </c>
      <c r="F104" s="3" t="s">
        <v>51</v>
      </c>
      <c r="G104" s="3" t="s">
        <v>256</v>
      </c>
      <c r="H104" s="3" t="s">
        <v>47</v>
      </c>
      <c r="I104" s="3" t="s">
        <v>113</v>
      </c>
      <c r="J104" s="3" t="s">
        <v>58</v>
      </c>
      <c r="K104" s="3" t="s">
        <v>257</v>
      </c>
      <c r="L104" s="7" t="s">
        <v>107</v>
      </c>
      <c r="M104" s="3" t="s">
        <v>47</v>
      </c>
      <c r="N104" s="3" t="s">
        <v>81</v>
      </c>
      <c r="O104" s="3" t="s">
        <v>449</v>
      </c>
      <c r="P104" s="3" t="s">
        <v>88</v>
      </c>
      <c r="Q104" s="3" t="s">
        <v>56</v>
      </c>
      <c r="R104" s="3" t="s">
        <v>47</v>
      </c>
      <c r="S104" s="3" t="s">
        <v>53</v>
      </c>
      <c r="T104" s="3" t="s">
        <v>53</v>
      </c>
      <c r="U104" s="3" t="s">
        <v>53</v>
      </c>
      <c r="V104" s="4" t="s">
        <v>480</v>
      </c>
      <c r="W104" s="302">
        <f>'Industries data'!AB32</f>
        <v>17.629713467667116</v>
      </c>
      <c r="AE104" s="322"/>
      <c r="AF104" s="2"/>
    </row>
    <row r="105" spans="1:32" s="34" customFormat="1" ht="126" x14ac:dyDescent="0.25">
      <c r="A105" s="2"/>
      <c r="B105" s="2" t="s">
        <v>298</v>
      </c>
      <c r="C105" s="3" t="s">
        <v>290</v>
      </c>
      <c r="D105" s="3">
        <v>2014</v>
      </c>
      <c r="E105" s="81" t="s">
        <v>4</v>
      </c>
      <c r="F105" s="3" t="s">
        <v>51</v>
      </c>
      <c r="G105" s="3" t="s">
        <v>256</v>
      </c>
      <c r="H105" s="3" t="s">
        <v>47</v>
      </c>
      <c r="I105" s="3" t="s">
        <v>113</v>
      </c>
      <c r="J105" s="3" t="s">
        <v>58</v>
      </c>
      <c r="K105" s="3" t="s">
        <v>257</v>
      </c>
      <c r="L105" s="7" t="s">
        <v>107</v>
      </c>
      <c r="M105" s="3" t="s">
        <v>47</v>
      </c>
      <c r="N105" s="3" t="s">
        <v>81</v>
      </c>
      <c r="O105" s="3" t="s">
        <v>449</v>
      </c>
      <c r="P105" s="3" t="s">
        <v>88</v>
      </c>
      <c r="Q105" s="3" t="s">
        <v>56</v>
      </c>
      <c r="R105" s="3" t="s">
        <v>47</v>
      </c>
      <c r="S105" s="3" t="s">
        <v>53</v>
      </c>
      <c r="T105" s="3" t="s">
        <v>53</v>
      </c>
      <c r="U105" s="3" t="s">
        <v>53</v>
      </c>
      <c r="V105" s="4" t="s">
        <v>480</v>
      </c>
      <c r="W105" s="302">
        <f>'Industries data'!AB33</f>
        <v>18.547927710774779</v>
      </c>
      <c r="AE105" s="322"/>
      <c r="AF105" s="2"/>
    </row>
    <row r="106" spans="1:32" s="34" customFormat="1" ht="126" x14ac:dyDescent="0.25">
      <c r="A106" s="2"/>
      <c r="B106" s="2" t="s">
        <v>299</v>
      </c>
      <c r="C106" s="3" t="s">
        <v>290</v>
      </c>
      <c r="D106" s="3">
        <v>2013</v>
      </c>
      <c r="E106" s="81" t="s">
        <v>4</v>
      </c>
      <c r="F106" s="3" t="s">
        <v>51</v>
      </c>
      <c r="G106" s="3" t="s">
        <v>256</v>
      </c>
      <c r="H106" s="3" t="s">
        <v>47</v>
      </c>
      <c r="I106" s="3" t="s">
        <v>113</v>
      </c>
      <c r="J106" s="3" t="s">
        <v>58</v>
      </c>
      <c r="K106" s="3" t="s">
        <v>257</v>
      </c>
      <c r="L106" s="7" t="s">
        <v>107</v>
      </c>
      <c r="M106" s="3" t="s">
        <v>47</v>
      </c>
      <c r="N106" s="3" t="s">
        <v>81</v>
      </c>
      <c r="O106" s="3" t="s">
        <v>449</v>
      </c>
      <c r="P106" s="3" t="s">
        <v>88</v>
      </c>
      <c r="Q106" s="3" t="s">
        <v>56</v>
      </c>
      <c r="R106" s="3" t="s">
        <v>47</v>
      </c>
      <c r="S106" s="3" t="s">
        <v>53</v>
      </c>
      <c r="T106" s="3" t="s">
        <v>53</v>
      </c>
      <c r="U106" s="3" t="s">
        <v>53</v>
      </c>
      <c r="V106" s="4" t="s">
        <v>480</v>
      </c>
      <c r="W106" s="302">
        <f>'Industries data'!AB34</f>
        <v>18.73157055939631</v>
      </c>
      <c r="AE106" s="322"/>
      <c r="AF106" s="2"/>
    </row>
    <row r="107" spans="1:32" s="34" customFormat="1" ht="126" x14ac:dyDescent="0.25">
      <c r="A107" s="2"/>
      <c r="B107" s="2" t="s">
        <v>300</v>
      </c>
      <c r="C107" s="3" t="s">
        <v>290</v>
      </c>
      <c r="D107" s="3">
        <v>2012</v>
      </c>
      <c r="E107" s="81" t="s">
        <v>4</v>
      </c>
      <c r="F107" s="3" t="s">
        <v>51</v>
      </c>
      <c r="G107" s="3" t="s">
        <v>256</v>
      </c>
      <c r="H107" s="3" t="s">
        <v>47</v>
      </c>
      <c r="I107" s="3" t="s">
        <v>113</v>
      </c>
      <c r="J107" s="3" t="s">
        <v>58</v>
      </c>
      <c r="K107" s="3" t="s">
        <v>257</v>
      </c>
      <c r="L107" s="7" t="s">
        <v>107</v>
      </c>
      <c r="M107" s="3" t="s">
        <v>47</v>
      </c>
      <c r="N107" s="3" t="s">
        <v>81</v>
      </c>
      <c r="O107" s="3" t="s">
        <v>449</v>
      </c>
      <c r="P107" s="3" t="s">
        <v>88</v>
      </c>
      <c r="Q107" s="3" t="s">
        <v>56</v>
      </c>
      <c r="R107" s="3" t="s">
        <v>47</v>
      </c>
      <c r="S107" s="3" t="s">
        <v>53</v>
      </c>
      <c r="T107" s="3" t="s">
        <v>53</v>
      </c>
      <c r="U107" s="3" t="s">
        <v>53</v>
      </c>
      <c r="V107" s="4" t="s">
        <v>480</v>
      </c>
      <c r="W107" s="302">
        <f>'Industries data'!AB35</f>
        <v>19.282499105260911</v>
      </c>
      <c r="AE107" s="322"/>
      <c r="AF107" s="2"/>
    </row>
    <row r="108" spans="1:32" s="34" customFormat="1" ht="126" x14ac:dyDescent="0.25">
      <c r="A108" s="2"/>
      <c r="B108" s="2" t="s">
        <v>301</v>
      </c>
      <c r="C108" s="3" t="s">
        <v>290</v>
      </c>
      <c r="D108" s="3">
        <v>2011</v>
      </c>
      <c r="E108" s="81" t="s">
        <v>4</v>
      </c>
      <c r="F108" s="3" t="s">
        <v>51</v>
      </c>
      <c r="G108" s="3" t="s">
        <v>256</v>
      </c>
      <c r="H108" s="3" t="s">
        <v>47</v>
      </c>
      <c r="I108" s="3" t="s">
        <v>113</v>
      </c>
      <c r="J108" s="3" t="s">
        <v>58</v>
      </c>
      <c r="K108" s="3" t="s">
        <v>257</v>
      </c>
      <c r="L108" s="7" t="s">
        <v>107</v>
      </c>
      <c r="M108" s="3" t="s">
        <v>47</v>
      </c>
      <c r="N108" s="3" t="s">
        <v>81</v>
      </c>
      <c r="O108" s="3" t="s">
        <v>449</v>
      </c>
      <c r="P108" s="3" t="s">
        <v>88</v>
      </c>
      <c r="Q108" s="3" t="s">
        <v>56</v>
      </c>
      <c r="R108" s="3" t="s">
        <v>47</v>
      </c>
      <c r="S108" s="3" t="s">
        <v>53</v>
      </c>
      <c r="T108" s="3" t="s">
        <v>53</v>
      </c>
      <c r="U108" s="3" t="s">
        <v>53</v>
      </c>
      <c r="V108" s="4" t="s">
        <v>480</v>
      </c>
      <c r="W108" s="302">
        <f>'Industries data'!AB36</f>
        <v>18.915213408017845</v>
      </c>
      <c r="AE108" s="322"/>
      <c r="AF108" s="2"/>
    </row>
    <row r="109" spans="1:32" s="344" customFormat="1" x14ac:dyDescent="0.25">
      <c r="A109" s="327"/>
      <c r="B109" s="327"/>
      <c r="C109" s="328"/>
      <c r="D109" s="328"/>
      <c r="E109" s="354"/>
      <c r="F109" s="328"/>
      <c r="G109" s="328"/>
      <c r="H109" s="328"/>
      <c r="I109" s="328"/>
      <c r="J109" s="328"/>
      <c r="K109" s="328"/>
      <c r="L109" s="342"/>
      <c r="M109" s="328"/>
      <c r="N109" s="328"/>
      <c r="O109" s="328"/>
      <c r="P109" s="328"/>
      <c r="Q109" s="328"/>
      <c r="R109" s="328"/>
      <c r="S109" s="328"/>
      <c r="T109" s="328"/>
      <c r="U109" s="328"/>
      <c r="V109" s="330"/>
      <c r="W109" s="338"/>
      <c r="X109" s="327"/>
      <c r="Y109" s="327"/>
      <c r="Z109" s="327"/>
      <c r="AA109" s="327"/>
      <c r="AB109" s="327"/>
      <c r="AC109" s="327"/>
      <c r="AD109" s="327"/>
      <c r="AE109" s="327"/>
      <c r="AF109" s="327"/>
    </row>
    <row r="110" spans="1:32" s="34" customFormat="1" ht="141.75" x14ac:dyDescent="0.25">
      <c r="A110" s="2"/>
      <c r="B110" s="2" t="s">
        <v>302</v>
      </c>
      <c r="C110" s="3" t="s">
        <v>302</v>
      </c>
      <c r="D110" s="3">
        <v>2020</v>
      </c>
      <c r="E110" s="81" t="s">
        <v>303</v>
      </c>
      <c r="F110" s="3" t="s">
        <v>51</v>
      </c>
      <c r="G110" s="3" t="s">
        <v>256</v>
      </c>
      <c r="H110" s="3" t="s">
        <v>47</v>
      </c>
      <c r="I110" s="3" t="s">
        <v>113</v>
      </c>
      <c r="J110" s="3" t="s">
        <v>257</v>
      </c>
      <c r="K110" s="3" t="s">
        <v>258</v>
      </c>
      <c r="L110" s="7" t="s">
        <v>107</v>
      </c>
      <c r="M110" s="3" t="s">
        <v>47</v>
      </c>
      <c r="N110" s="3" t="s">
        <v>81</v>
      </c>
      <c r="O110" s="3" t="s">
        <v>259</v>
      </c>
      <c r="P110" s="3" t="s">
        <v>88</v>
      </c>
      <c r="Q110" s="3" t="s">
        <v>56</v>
      </c>
      <c r="R110" s="3" t="s">
        <v>47</v>
      </c>
      <c r="S110" s="3" t="s">
        <v>53</v>
      </c>
      <c r="T110" s="3" t="s">
        <v>53</v>
      </c>
      <c r="U110" s="3" t="s">
        <v>53</v>
      </c>
      <c r="V110" s="4" t="s">
        <v>304</v>
      </c>
      <c r="W110" s="302">
        <f>'Industries data'!AB38</f>
        <v>21.000119473788551</v>
      </c>
      <c r="AE110" s="322"/>
      <c r="AF110" s="2"/>
    </row>
    <row r="111" spans="1:32" s="34" customFormat="1" ht="141.75" x14ac:dyDescent="0.25">
      <c r="A111" s="2"/>
      <c r="B111" s="2" t="s">
        <v>302</v>
      </c>
      <c r="C111" s="3" t="s">
        <v>302</v>
      </c>
      <c r="D111" s="3">
        <v>2019</v>
      </c>
      <c r="E111" s="81" t="s">
        <v>305</v>
      </c>
      <c r="F111" s="3" t="s">
        <v>51</v>
      </c>
      <c r="G111" s="3" t="s">
        <v>256</v>
      </c>
      <c r="H111" s="3" t="s">
        <v>47</v>
      </c>
      <c r="I111" s="3" t="s">
        <v>113</v>
      </c>
      <c r="J111" s="3" t="s">
        <v>257</v>
      </c>
      <c r="K111" s="3" t="s">
        <v>258</v>
      </c>
      <c r="L111" s="7" t="s">
        <v>107</v>
      </c>
      <c r="M111" s="3" t="s">
        <v>47</v>
      </c>
      <c r="N111" s="3" t="s">
        <v>81</v>
      </c>
      <c r="O111" s="3" t="s">
        <v>259</v>
      </c>
      <c r="P111" s="3" t="s">
        <v>88</v>
      </c>
      <c r="Q111" s="3" t="s">
        <v>56</v>
      </c>
      <c r="R111" s="3" t="s">
        <v>47</v>
      </c>
      <c r="S111" s="3" t="s">
        <v>53</v>
      </c>
      <c r="T111" s="3" t="s">
        <v>53</v>
      </c>
      <c r="U111" s="3" t="s">
        <v>53</v>
      </c>
      <c r="V111" s="4" t="s">
        <v>304</v>
      </c>
      <c r="W111" s="302">
        <f>'Industries data'!AB39</f>
        <v>16.78268182339859</v>
      </c>
      <c r="AE111" s="322"/>
      <c r="AF111" s="2"/>
    </row>
    <row r="112" spans="1:32" s="34" customFormat="1" ht="141.75" x14ac:dyDescent="0.25">
      <c r="A112" s="2"/>
      <c r="B112" s="2" t="s">
        <v>302</v>
      </c>
      <c r="C112" s="3" t="s">
        <v>302</v>
      </c>
      <c r="D112" s="3">
        <v>2018</v>
      </c>
      <c r="E112" s="81" t="s">
        <v>306</v>
      </c>
      <c r="F112" s="3" t="s">
        <v>51</v>
      </c>
      <c r="G112" s="3" t="s">
        <v>256</v>
      </c>
      <c r="H112" s="3" t="s">
        <v>47</v>
      </c>
      <c r="I112" s="3" t="s">
        <v>113</v>
      </c>
      <c r="J112" s="3" t="s">
        <v>257</v>
      </c>
      <c r="K112" s="3" t="s">
        <v>258</v>
      </c>
      <c r="L112" s="7" t="s">
        <v>107</v>
      </c>
      <c r="M112" s="3" t="s">
        <v>47</v>
      </c>
      <c r="N112" s="3" t="s">
        <v>81</v>
      </c>
      <c r="O112" s="3" t="s">
        <v>259</v>
      </c>
      <c r="P112" s="3" t="s">
        <v>88</v>
      </c>
      <c r="Q112" s="3" t="s">
        <v>56</v>
      </c>
      <c r="R112" s="3" t="s">
        <v>47</v>
      </c>
      <c r="S112" s="3" t="s">
        <v>53</v>
      </c>
      <c r="T112" s="3" t="s">
        <v>53</v>
      </c>
      <c r="U112" s="3" t="s">
        <v>53</v>
      </c>
      <c r="V112" s="4" t="s">
        <v>307</v>
      </c>
      <c r="W112" s="302">
        <f>'Industries data'!AB40</f>
        <v>17.004473428943747</v>
      </c>
      <c r="AE112" s="322"/>
      <c r="AF112" s="2"/>
    </row>
    <row r="113" spans="1:32" s="34" customFormat="1" ht="141.75" x14ac:dyDescent="0.25">
      <c r="A113" s="2"/>
      <c r="B113" s="2" t="s">
        <v>302</v>
      </c>
      <c r="C113" s="3" t="s">
        <v>302</v>
      </c>
      <c r="D113" s="3">
        <v>2017</v>
      </c>
      <c r="E113" s="81" t="s">
        <v>308</v>
      </c>
      <c r="F113" s="3" t="s">
        <v>51</v>
      </c>
      <c r="G113" s="3" t="s">
        <v>256</v>
      </c>
      <c r="H113" s="3" t="s">
        <v>47</v>
      </c>
      <c r="I113" s="3" t="s">
        <v>113</v>
      </c>
      <c r="J113" s="3" t="s">
        <v>257</v>
      </c>
      <c r="K113" s="3" t="s">
        <v>258</v>
      </c>
      <c r="L113" s="7" t="s">
        <v>107</v>
      </c>
      <c r="M113" s="3" t="s">
        <v>47</v>
      </c>
      <c r="N113" s="3" t="s">
        <v>81</v>
      </c>
      <c r="O113" s="3" t="s">
        <v>259</v>
      </c>
      <c r="P113" s="3" t="s">
        <v>88</v>
      </c>
      <c r="Q113" s="3" t="s">
        <v>56</v>
      </c>
      <c r="R113" s="3" t="s">
        <v>47</v>
      </c>
      <c r="S113" s="3" t="s">
        <v>53</v>
      </c>
      <c r="T113" s="3" t="s">
        <v>53</v>
      </c>
      <c r="U113" s="3" t="s">
        <v>53</v>
      </c>
      <c r="V113" s="4" t="s">
        <v>307</v>
      </c>
      <c r="W113" s="302">
        <f>'Industries data'!AB41</f>
        <v>17.993442264565559</v>
      </c>
      <c r="AE113" s="322"/>
      <c r="AF113" s="2"/>
    </row>
    <row r="114" spans="1:32" s="34" customFormat="1" ht="141.75" x14ac:dyDescent="0.25">
      <c r="A114" s="2"/>
      <c r="B114" s="2" t="s">
        <v>302</v>
      </c>
      <c r="C114" s="3" t="s">
        <v>302</v>
      </c>
      <c r="D114" s="3">
        <v>2016</v>
      </c>
      <c r="E114" s="81" t="s">
        <v>309</v>
      </c>
      <c r="F114" s="3" t="s">
        <v>51</v>
      </c>
      <c r="G114" s="3" t="s">
        <v>256</v>
      </c>
      <c r="H114" s="3" t="s">
        <v>47</v>
      </c>
      <c r="I114" s="3" t="s">
        <v>113</v>
      </c>
      <c r="J114" s="3" t="s">
        <v>257</v>
      </c>
      <c r="K114" s="3" t="s">
        <v>258</v>
      </c>
      <c r="L114" s="7" t="s">
        <v>107</v>
      </c>
      <c r="M114" s="3" t="s">
        <v>47</v>
      </c>
      <c r="N114" s="3" t="s">
        <v>81</v>
      </c>
      <c r="O114" s="3" t="s">
        <v>259</v>
      </c>
      <c r="P114" s="3" t="s">
        <v>88</v>
      </c>
      <c r="Q114" s="3" t="s">
        <v>56</v>
      </c>
      <c r="R114" s="3" t="s">
        <v>47</v>
      </c>
      <c r="S114" s="3" t="s">
        <v>53</v>
      </c>
      <c r="T114" s="3" t="s">
        <v>53</v>
      </c>
      <c r="U114" s="3" t="s">
        <v>53</v>
      </c>
      <c r="V114" s="4" t="s">
        <v>307</v>
      </c>
      <c r="W114" s="302">
        <f>'Industries data'!AB42</f>
        <v>18.047306788641272</v>
      </c>
      <c r="AE114" s="322"/>
      <c r="AF114" s="2"/>
    </row>
    <row r="115" spans="1:32" s="344" customFormat="1" x14ac:dyDescent="0.25">
      <c r="A115" s="327"/>
      <c r="B115" s="327"/>
      <c r="C115" s="328"/>
      <c r="D115" s="328"/>
      <c r="E115" s="354"/>
      <c r="F115" s="328"/>
      <c r="G115" s="328"/>
      <c r="H115" s="328"/>
      <c r="I115" s="328"/>
      <c r="J115" s="328"/>
      <c r="K115" s="328"/>
      <c r="L115" s="342"/>
      <c r="M115" s="328"/>
      <c r="N115" s="328"/>
      <c r="O115" s="328"/>
      <c r="P115" s="328"/>
      <c r="Q115" s="328"/>
      <c r="R115" s="328"/>
      <c r="S115" s="328"/>
      <c r="T115" s="328"/>
      <c r="U115" s="328"/>
      <c r="V115" s="330"/>
      <c r="W115" s="338"/>
      <c r="X115" s="327"/>
      <c r="Y115" s="327"/>
      <c r="Z115" s="327"/>
      <c r="AA115" s="327"/>
      <c r="AB115" s="327"/>
      <c r="AC115" s="327"/>
      <c r="AD115" s="327"/>
      <c r="AE115" s="327"/>
      <c r="AF115" s="327"/>
    </row>
    <row r="116" spans="1:32" s="34" customFormat="1" ht="141.75" x14ac:dyDescent="0.25">
      <c r="A116" s="2"/>
      <c r="B116" s="2" t="s">
        <v>316</v>
      </c>
      <c r="C116" s="3" t="s">
        <v>316</v>
      </c>
      <c r="D116" s="3">
        <v>2020</v>
      </c>
      <c r="E116" s="81" t="s">
        <v>317</v>
      </c>
      <c r="F116" s="3" t="s">
        <v>51</v>
      </c>
      <c r="G116" s="3" t="s">
        <v>256</v>
      </c>
      <c r="H116" s="3" t="s">
        <v>47</v>
      </c>
      <c r="I116" s="3" t="s">
        <v>113</v>
      </c>
      <c r="J116" s="3" t="s">
        <v>257</v>
      </c>
      <c r="K116" s="3" t="s">
        <v>258</v>
      </c>
      <c r="L116" s="7" t="s">
        <v>107</v>
      </c>
      <c r="M116" s="3" t="s">
        <v>47</v>
      </c>
      <c r="N116" s="3" t="s">
        <v>81</v>
      </c>
      <c r="O116" s="3" t="s">
        <v>318</v>
      </c>
      <c r="P116" s="3" t="s">
        <v>88</v>
      </c>
      <c r="Q116" s="3" t="s">
        <v>56</v>
      </c>
      <c r="R116" s="3" t="s">
        <v>47</v>
      </c>
      <c r="S116" s="3" t="s">
        <v>53</v>
      </c>
      <c r="T116" s="3" t="s">
        <v>53</v>
      </c>
      <c r="U116" s="3" t="s">
        <v>53</v>
      </c>
      <c r="V116" s="4" t="s">
        <v>319</v>
      </c>
      <c r="W116" s="302">
        <f>'Industries data'!AB49</f>
        <v>18.996148603696838</v>
      </c>
      <c r="AE116" s="322"/>
      <c r="AF116" s="2"/>
    </row>
    <row r="117" spans="1:32" s="34" customFormat="1" ht="141.75" x14ac:dyDescent="0.25">
      <c r="A117" s="2"/>
      <c r="B117" s="2" t="s">
        <v>316</v>
      </c>
      <c r="C117" s="3" t="s">
        <v>316</v>
      </c>
      <c r="D117" s="3">
        <v>2019</v>
      </c>
      <c r="E117" s="81" t="s">
        <v>320</v>
      </c>
      <c r="F117" s="3" t="s">
        <v>51</v>
      </c>
      <c r="G117" s="3" t="s">
        <v>256</v>
      </c>
      <c r="H117" s="3" t="s">
        <v>47</v>
      </c>
      <c r="I117" s="3" t="s">
        <v>113</v>
      </c>
      <c r="J117" s="3" t="s">
        <v>257</v>
      </c>
      <c r="K117" s="3" t="s">
        <v>258</v>
      </c>
      <c r="L117" s="7" t="s">
        <v>107</v>
      </c>
      <c r="M117" s="3" t="s">
        <v>47</v>
      </c>
      <c r="N117" s="3" t="s">
        <v>81</v>
      </c>
      <c r="O117" s="3" t="s">
        <v>318</v>
      </c>
      <c r="P117" s="3" t="s">
        <v>88</v>
      </c>
      <c r="Q117" s="3" t="s">
        <v>56</v>
      </c>
      <c r="R117" s="3" t="s">
        <v>47</v>
      </c>
      <c r="S117" s="3" t="s">
        <v>53</v>
      </c>
      <c r="T117" s="3" t="s">
        <v>53</v>
      </c>
      <c r="U117" s="3" t="s">
        <v>53</v>
      </c>
      <c r="V117" s="4" t="s">
        <v>319</v>
      </c>
      <c r="W117" s="302">
        <f>'Industries data'!AB50</f>
        <v>21.920771838037425</v>
      </c>
      <c r="AE117" s="322"/>
      <c r="AF117" s="2"/>
    </row>
    <row r="118" spans="1:32" s="34" customFormat="1" ht="141.75" x14ac:dyDescent="0.25">
      <c r="A118" s="2"/>
      <c r="B118" s="2" t="s">
        <v>316</v>
      </c>
      <c r="C118" s="3" t="s">
        <v>316</v>
      </c>
      <c r="D118" s="3">
        <v>2018</v>
      </c>
      <c r="E118" s="81" t="s">
        <v>321</v>
      </c>
      <c r="F118" s="3" t="s">
        <v>51</v>
      </c>
      <c r="G118" s="3" t="s">
        <v>256</v>
      </c>
      <c r="H118" s="3" t="s">
        <v>47</v>
      </c>
      <c r="I118" s="3" t="s">
        <v>113</v>
      </c>
      <c r="J118" s="3" t="s">
        <v>257</v>
      </c>
      <c r="K118" s="3" t="s">
        <v>258</v>
      </c>
      <c r="L118" s="7" t="s">
        <v>107</v>
      </c>
      <c r="M118" s="3" t="s">
        <v>47</v>
      </c>
      <c r="N118" s="3" t="s">
        <v>81</v>
      </c>
      <c r="O118" s="3" t="s">
        <v>318</v>
      </c>
      <c r="P118" s="3" t="s">
        <v>88</v>
      </c>
      <c r="Q118" s="3" t="s">
        <v>56</v>
      </c>
      <c r="R118" s="3" t="s">
        <v>47</v>
      </c>
      <c r="S118" s="3" t="s">
        <v>53</v>
      </c>
      <c r="T118" s="3" t="s">
        <v>53</v>
      </c>
      <c r="U118" s="3" t="s">
        <v>53</v>
      </c>
      <c r="V118" s="4" t="s">
        <v>322</v>
      </c>
      <c r="W118" s="302">
        <f>'Industries data'!AB51</f>
        <v>20.055022583310908</v>
      </c>
      <c r="AE118" s="322"/>
      <c r="AF118" s="2"/>
    </row>
    <row r="119" spans="1:32" s="34" customFormat="1" ht="141.75" x14ac:dyDescent="0.25">
      <c r="A119" s="2"/>
      <c r="B119" s="2" t="s">
        <v>316</v>
      </c>
      <c r="C119" s="3" t="s">
        <v>316</v>
      </c>
      <c r="D119" s="3">
        <v>2017</v>
      </c>
      <c r="E119" s="81" t="s">
        <v>323</v>
      </c>
      <c r="F119" s="3" t="s">
        <v>51</v>
      </c>
      <c r="G119" s="3" t="s">
        <v>256</v>
      </c>
      <c r="H119" s="3" t="s">
        <v>47</v>
      </c>
      <c r="I119" s="3" t="s">
        <v>113</v>
      </c>
      <c r="J119" s="3" t="s">
        <v>257</v>
      </c>
      <c r="K119" s="3" t="s">
        <v>258</v>
      </c>
      <c r="L119" s="7" t="s">
        <v>107</v>
      </c>
      <c r="M119" s="3" t="s">
        <v>47</v>
      </c>
      <c r="N119" s="3" t="s">
        <v>81</v>
      </c>
      <c r="O119" s="3" t="s">
        <v>318</v>
      </c>
      <c r="P119" s="3" t="s">
        <v>88</v>
      </c>
      <c r="Q119" s="3" t="s">
        <v>56</v>
      </c>
      <c r="R119" s="3" t="s">
        <v>47</v>
      </c>
      <c r="S119" s="3" t="s">
        <v>53</v>
      </c>
      <c r="T119" s="3" t="s">
        <v>53</v>
      </c>
      <c r="U119" s="3" t="s">
        <v>53</v>
      </c>
      <c r="V119" s="4" t="s">
        <v>324</v>
      </c>
      <c r="W119" s="302">
        <f>'Industries data'!AB52</f>
        <v>22.124099990019509</v>
      </c>
      <c r="AE119" s="322"/>
      <c r="AF119" s="2"/>
    </row>
    <row r="120" spans="1:32" s="34" customFormat="1" ht="141.75" x14ac:dyDescent="0.25">
      <c r="A120" s="2"/>
      <c r="B120" s="2" t="s">
        <v>316</v>
      </c>
      <c r="C120" s="3" t="s">
        <v>316</v>
      </c>
      <c r="D120" s="3">
        <v>2016</v>
      </c>
      <c r="E120" s="81" t="s">
        <v>325</v>
      </c>
      <c r="F120" s="3" t="s">
        <v>51</v>
      </c>
      <c r="G120" s="3" t="s">
        <v>256</v>
      </c>
      <c r="H120" s="3" t="s">
        <v>47</v>
      </c>
      <c r="I120" s="3" t="s">
        <v>113</v>
      </c>
      <c r="J120" s="3" t="s">
        <v>257</v>
      </c>
      <c r="K120" s="3" t="s">
        <v>258</v>
      </c>
      <c r="L120" s="7" t="s">
        <v>107</v>
      </c>
      <c r="M120" s="3" t="s">
        <v>47</v>
      </c>
      <c r="N120" s="3" t="s">
        <v>81</v>
      </c>
      <c r="O120" s="3" t="s">
        <v>318</v>
      </c>
      <c r="P120" s="3" t="s">
        <v>88</v>
      </c>
      <c r="Q120" s="3" t="s">
        <v>56</v>
      </c>
      <c r="R120" s="3" t="s">
        <v>47</v>
      </c>
      <c r="S120" s="3" t="s">
        <v>53</v>
      </c>
      <c r="T120" s="3" t="s">
        <v>53</v>
      </c>
      <c r="U120" s="3" t="s">
        <v>53</v>
      </c>
      <c r="V120" s="4" t="s">
        <v>324</v>
      </c>
      <c r="W120" s="302">
        <f>'Industries data'!AB53</f>
        <v>24.164327992088378</v>
      </c>
      <c r="AE120" s="322"/>
      <c r="AF120" s="2"/>
    </row>
    <row r="121" spans="1:32" s="34" customFormat="1" ht="141.75" x14ac:dyDescent="0.25">
      <c r="A121" s="2"/>
      <c r="B121" s="2" t="s">
        <v>316</v>
      </c>
      <c r="C121" s="3" t="s">
        <v>316</v>
      </c>
      <c r="D121" s="3">
        <v>2015</v>
      </c>
      <c r="E121" s="81" t="s">
        <v>325</v>
      </c>
      <c r="F121" s="3" t="s">
        <v>51</v>
      </c>
      <c r="G121" s="3" t="s">
        <v>256</v>
      </c>
      <c r="H121" s="3" t="s">
        <v>47</v>
      </c>
      <c r="I121" s="3" t="s">
        <v>113</v>
      </c>
      <c r="J121" s="3" t="s">
        <v>257</v>
      </c>
      <c r="K121" s="3" t="s">
        <v>258</v>
      </c>
      <c r="L121" s="7" t="s">
        <v>107</v>
      </c>
      <c r="M121" s="3" t="s">
        <v>47</v>
      </c>
      <c r="N121" s="3" t="s">
        <v>81</v>
      </c>
      <c r="O121" s="3" t="s">
        <v>318</v>
      </c>
      <c r="P121" s="3" t="s">
        <v>88</v>
      </c>
      <c r="Q121" s="3" t="s">
        <v>56</v>
      </c>
      <c r="R121" s="3" t="s">
        <v>47</v>
      </c>
      <c r="S121" s="3" t="s">
        <v>53</v>
      </c>
      <c r="T121" s="3" t="s">
        <v>53</v>
      </c>
      <c r="U121" s="3" t="s">
        <v>53</v>
      </c>
      <c r="V121" s="4" t="s">
        <v>324</v>
      </c>
      <c r="W121" s="302">
        <f>'Industries data'!AB54</f>
        <v>26.039609486708478</v>
      </c>
      <c r="AE121" s="322"/>
      <c r="AF121" s="2"/>
    </row>
    <row r="122" spans="1:32" s="34" customFormat="1" ht="141.75" x14ac:dyDescent="0.25">
      <c r="A122" s="2"/>
      <c r="B122" s="2" t="s">
        <v>316</v>
      </c>
      <c r="C122" s="3" t="s">
        <v>316</v>
      </c>
      <c r="D122" s="3">
        <v>2014</v>
      </c>
      <c r="E122" s="81" t="s">
        <v>326</v>
      </c>
      <c r="F122" s="3" t="s">
        <v>51</v>
      </c>
      <c r="G122" s="3" t="s">
        <v>256</v>
      </c>
      <c r="H122" s="3" t="s">
        <v>47</v>
      </c>
      <c r="I122" s="3" t="s">
        <v>113</v>
      </c>
      <c r="J122" s="3" t="s">
        <v>257</v>
      </c>
      <c r="K122" s="3" t="s">
        <v>258</v>
      </c>
      <c r="L122" s="7" t="s">
        <v>107</v>
      </c>
      <c r="M122" s="3" t="s">
        <v>47</v>
      </c>
      <c r="N122" s="3" t="s">
        <v>81</v>
      </c>
      <c r="O122" s="3" t="s">
        <v>318</v>
      </c>
      <c r="P122" s="3" t="s">
        <v>88</v>
      </c>
      <c r="Q122" s="3" t="s">
        <v>56</v>
      </c>
      <c r="R122" s="3" t="s">
        <v>47</v>
      </c>
      <c r="S122" s="3" t="s">
        <v>53</v>
      </c>
      <c r="T122" s="3" t="s">
        <v>53</v>
      </c>
      <c r="U122" s="3" t="s">
        <v>53</v>
      </c>
      <c r="V122" s="4" t="s">
        <v>327</v>
      </c>
      <c r="W122" s="302">
        <f>'Industries data'!AB55</f>
        <v>22.055594445078924</v>
      </c>
      <c r="AE122" s="322"/>
      <c r="AF122" s="2"/>
    </row>
    <row r="123" spans="1:32" s="34" customFormat="1" ht="141.75" x14ac:dyDescent="0.25">
      <c r="A123" s="2"/>
      <c r="B123" s="2" t="s">
        <v>316</v>
      </c>
      <c r="C123" s="3" t="s">
        <v>316</v>
      </c>
      <c r="D123" s="3">
        <v>2013</v>
      </c>
      <c r="E123" s="81" t="s">
        <v>326</v>
      </c>
      <c r="F123" s="3" t="s">
        <v>51</v>
      </c>
      <c r="G123" s="3" t="s">
        <v>256</v>
      </c>
      <c r="H123" s="3" t="s">
        <v>47</v>
      </c>
      <c r="I123" s="3" t="s">
        <v>113</v>
      </c>
      <c r="J123" s="3" t="s">
        <v>257</v>
      </c>
      <c r="K123" s="3" t="s">
        <v>258</v>
      </c>
      <c r="L123" s="7" t="s">
        <v>107</v>
      </c>
      <c r="M123" s="3" t="s">
        <v>47</v>
      </c>
      <c r="N123" s="3" t="s">
        <v>81</v>
      </c>
      <c r="O123" s="3" t="s">
        <v>318</v>
      </c>
      <c r="P123" s="3" t="s">
        <v>88</v>
      </c>
      <c r="Q123" s="3" t="s">
        <v>56</v>
      </c>
      <c r="R123" s="3" t="s">
        <v>47</v>
      </c>
      <c r="S123" s="3" t="s">
        <v>53</v>
      </c>
      <c r="T123" s="3" t="s">
        <v>53</v>
      </c>
      <c r="U123" s="3" t="s">
        <v>53</v>
      </c>
      <c r="V123" s="4" t="s">
        <v>327</v>
      </c>
      <c r="W123" s="302">
        <f>'Industries data'!AB56</f>
        <v>18.439912508568558</v>
      </c>
      <c r="AE123" s="322"/>
      <c r="AF123" s="2"/>
    </row>
    <row r="124" spans="1:32" s="34" customFormat="1" ht="141.75" x14ac:dyDescent="0.25">
      <c r="A124" s="2"/>
      <c r="B124" s="2" t="s">
        <v>316</v>
      </c>
      <c r="C124" s="3" t="s">
        <v>316</v>
      </c>
      <c r="D124" s="3">
        <v>2012</v>
      </c>
      <c r="E124" s="81" t="s">
        <v>328</v>
      </c>
      <c r="F124" s="3" t="s">
        <v>51</v>
      </c>
      <c r="G124" s="3" t="s">
        <v>256</v>
      </c>
      <c r="H124" s="3" t="s">
        <v>47</v>
      </c>
      <c r="I124" s="3" t="s">
        <v>113</v>
      </c>
      <c r="J124" s="3" t="s">
        <v>257</v>
      </c>
      <c r="K124" s="3" t="s">
        <v>258</v>
      </c>
      <c r="L124" s="7" t="s">
        <v>107</v>
      </c>
      <c r="M124" s="3" t="s">
        <v>47</v>
      </c>
      <c r="N124" s="3" t="s">
        <v>81</v>
      </c>
      <c r="O124" s="3" t="s">
        <v>318</v>
      </c>
      <c r="P124" s="3" t="s">
        <v>88</v>
      </c>
      <c r="Q124" s="3" t="s">
        <v>56</v>
      </c>
      <c r="R124" s="3" t="s">
        <v>47</v>
      </c>
      <c r="S124" s="3" t="s">
        <v>53</v>
      </c>
      <c r="T124" s="3" t="s">
        <v>53</v>
      </c>
      <c r="U124" s="3" t="s">
        <v>53</v>
      </c>
      <c r="V124" s="4" t="s">
        <v>329</v>
      </c>
      <c r="W124" s="302">
        <f>'Industries data'!AB57</f>
        <v>16.969249584962093</v>
      </c>
      <c r="AE124" s="322"/>
      <c r="AF124" s="2"/>
    </row>
    <row r="125" spans="1:32" s="34" customFormat="1" ht="141.75" x14ac:dyDescent="0.25">
      <c r="A125" s="2"/>
      <c r="B125" s="2" t="s">
        <v>316</v>
      </c>
      <c r="C125" s="3" t="s">
        <v>316</v>
      </c>
      <c r="D125" s="3">
        <v>2011</v>
      </c>
      <c r="E125" s="81" t="s">
        <v>328</v>
      </c>
      <c r="F125" s="3" t="s">
        <v>51</v>
      </c>
      <c r="G125" s="3" t="s">
        <v>256</v>
      </c>
      <c r="H125" s="3" t="s">
        <v>47</v>
      </c>
      <c r="I125" s="3" t="s">
        <v>113</v>
      </c>
      <c r="J125" s="3" t="s">
        <v>257</v>
      </c>
      <c r="K125" s="3" t="s">
        <v>258</v>
      </c>
      <c r="L125" s="7" t="s">
        <v>107</v>
      </c>
      <c r="M125" s="3" t="s">
        <v>47</v>
      </c>
      <c r="N125" s="3" t="s">
        <v>81</v>
      </c>
      <c r="O125" s="3" t="s">
        <v>318</v>
      </c>
      <c r="P125" s="3" t="s">
        <v>88</v>
      </c>
      <c r="Q125" s="3" t="s">
        <v>56</v>
      </c>
      <c r="R125" s="3" t="s">
        <v>47</v>
      </c>
      <c r="S125" s="3" t="s">
        <v>53</v>
      </c>
      <c r="T125" s="3" t="s">
        <v>53</v>
      </c>
      <c r="U125" s="3" t="s">
        <v>53</v>
      </c>
      <c r="V125" s="4" t="s">
        <v>327</v>
      </c>
      <c r="W125" s="302">
        <f>'Industries data'!AB58</f>
        <v>15.399360444771924</v>
      </c>
      <c r="AE125" s="322"/>
      <c r="AF125" s="2"/>
    </row>
    <row r="126" spans="1:32" s="345" customFormat="1" x14ac:dyDescent="0.25">
      <c r="A126" s="249"/>
      <c r="B126" s="249"/>
      <c r="C126" s="336"/>
      <c r="D126" s="336"/>
      <c r="E126" s="337"/>
      <c r="F126" s="336"/>
      <c r="G126" s="336"/>
      <c r="H126" s="336"/>
      <c r="I126" s="336"/>
      <c r="J126" s="336"/>
      <c r="K126" s="336"/>
      <c r="L126" s="336"/>
      <c r="M126" s="336"/>
      <c r="N126" s="336"/>
      <c r="O126" s="336"/>
      <c r="P126" s="336"/>
      <c r="Q126" s="336"/>
      <c r="R126" s="336"/>
      <c r="S126" s="336"/>
      <c r="T126" s="336"/>
      <c r="U126" s="336"/>
      <c r="V126" s="249"/>
      <c r="W126" s="340"/>
      <c r="AE126" s="351"/>
      <c r="AF126" s="326"/>
    </row>
    <row r="127" spans="1:32" s="34" customFormat="1" ht="63" x14ac:dyDescent="0.25">
      <c r="A127" s="2"/>
      <c r="B127" s="2" t="s">
        <v>330</v>
      </c>
      <c r="C127" s="3" t="s">
        <v>331</v>
      </c>
      <c r="D127" s="7">
        <v>2013</v>
      </c>
      <c r="E127" s="81" t="s">
        <v>332</v>
      </c>
      <c r="F127" s="3" t="s">
        <v>57</v>
      </c>
      <c r="G127" s="7" t="s">
        <v>74</v>
      </c>
      <c r="H127" s="7" t="s">
        <v>47</v>
      </c>
      <c r="I127" s="7" t="s">
        <v>113</v>
      </c>
      <c r="J127" s="7" t="s">
        <v>74</v>
      </c>
      <c r="K127" s="7">
        <v>300</v>
      </c>
      <c r="L127" s="7" t="s">
        <v>113</v>
      </c>
      <c r="M127" s="7" t="s">
        <v>77</v>
      </c>
      <c r="N127" s="7" t="s">
        <v>74</v>
      </c>
      <c r="O127" s="7" t="s">
        <v>74</v>
      </c>
      <c r="P127" s="7" t="s">
        <v>88</v>
      </c>
      <c r="Q127" s="7" t="s">
        <v>74</v>
      </c>
      <c r="R127" s="7" t="s">
        <v>74</v>
      </c>
      <c r="S127" s="7" t="s">
        <v>481</v>
      </c>
      <c r="T127" s="7" t="s">
        <v>53</v>
      </c>
      <c r="U127" s="7" t="s">
        <v>47</v>
      </c>
      <c r="V127" s="4" t="s">
        <v>482</v>
      </c>
      <c r="W127" s="302">
        <f>'ITRS data'!AC21</f>
        <v>14.3</v>
      </c>
      <c r="X127" s="2"/>
      <c r="Y127" s="2"/>
      <c r="Z127" s="2"/>
      <c r="AA127" s="2"/>
      <c r="AB127" s="2"/>
      <c r="AC127" s="2"/>
      <c r="AD127" s="2"/>
      <c r="AE127" s="2"/>
      <c r="AF127" s="2"/>
    </row>
    <row r="128" spans="1:32" s="34" customFormat="1" ht="63" x14ac:dyDescent="0.25">
      <c r="A128" s="2"/>
      <c r="B128" s="2" t="s">
        <v>330</v>
      </c>
      <c r="C128" s="3" t="s">
        <v>331</v>
      </c>
      <c r="D128" s="7">
        <v>2014</v>
      </c>
      <c r="E128" s="81" t="s">
        <v>332</v>
      </c>
      <c r="F128" s="3" t="s">
        <v>57</v>
      </c>
      <c r="G128" s="7" t="s">
        <v>74</v>
      </c>
      <c r="H128" s="7" t="s">
        <v>47</v>
      </c>
      <c r="I128" s="7" t="s">
        <v>113</v>
      </c>
      <c r="J128" s="7" t="s">
        <v>74</v>
      </c>
      <c r="K128" s="7">
        <v>300</v>
      </c>
      <c r="L128" s="7" t="s">
        <v>113</v>
      </c>
      <c r="M128" s="7" t="s">
        <v>77</v>
      </c>
      <c r="N128" s="7" t="s">
        <v>74</v>
      </c>
      <c r="O128" s="7" t="s">
        <v>74</v>
      </c>
      <c r="P128" s="7" t="s">
        <v>88</v>
      </c>
      <c r="Q128" s="7" t="s">
        <v>74</v>
      </c>
      <c r="R128" s="7" t="s">
        <v>74</v>
      </c>
      <c r="S128" s="7" t="s">
        <v>481</v>
      </c>
      <c r="T128" s="7" t="s">
        <v>53</v>
      </c>
      <c r="U128" s="7" t="s">
        <v>47</v>
      </c>
      <c r="V128" s="4" t="s">
        <v>482</v>
      </c>
      <c r="W128" s="302">
        <f>'ITRS data'!AC22</f>
        <v>14.3</v>
      </c>
      <c r="X128" s="2"/>
      <c r="Y128" s="2"/>
      <c r="Z128" s="2"/>
      <c r="AA128" s="2"/>
      <c r="AB128" s="2"/>
      <c r="AC128" s="2"/>
      <c r="AD128" s="2"/>
      <c r="AE128" s="2"/>
      <c r="AF128" s="2"/>
    </row>
    <row r="129" spans="1:32" s="34" customFormat="1" ht="63" x14ac:dyDescent="0.25">
      <c r="A129" s="2"/>
      <c r="B129" s="2" t="s">
        <v>330</v>
      </c>
      <c r="C129" s="3" t="s">
        <v>331</v>
      </c>
      <c r="D129" s="7">
        <v>2015</v>
      </c>
      <c r="E129" s="81" t="s">
        <v>332</v>
      </c>
      <c r="F129" s="3" t="s">
        <v>57</v>
      </c>
      <c r="G129" s="7" t="s">
        <v>74</v>
      </c>
      <c r="H129" s="7" t="s">
        <v>47</v>
      </c>
      <c r="I129" s="7" t="s">
        <v>113</v>
      </c>
      <c r="J129" s="7" t="s">
        <v>74</v>
      </c>
      <c r="K129" s="7">
        <v>300</v>
      </c>
      <c r="L129" s="7" t="s">
        <v>113</v>
      </c>
      <c r="M129" s="7" t="s">
        <v>77</v>
      </c>
      <c r="N129" s="7" t="s">
        <v>74</v>
      </c>
      <c r="O129" s="7" t="s">
        <v>74</v>
      </c>
      <c r="P129" s="7" t="s">
        <v>88</v>
      </c>
      <c r="Q129" s="7" t="s">
        <v>74</v>
      </c>
      <c r="R129" s="7" t="s">
        <v>74</v>
      </c>
      <c r="S129" s="7" t="s">
        <v>481</v>
      </c>
      <c r="T129" s="7" t="s">
        <v>53</v>
      </c>
      <c r="U129" s="7" t="s">
        <v>47</v>
      </c>
      <c r="V129" s="4" t="s">
        <v>482</v>
      </c>
      <c r="W129" s="302">
        <f>'ITRS data'!AC23</f>
        <v>13.8</v>
      </c>
      <c r="X129" s="2"/>
      <c r="Y129" s="2"/>
      <c r="Z129" s="2"/>
      <c r="AA129" s="2"/>
      <c r="AB129" s="2"/>
      <c r="AC129" s="2"/>
      <c r="AD129" s="2"/>
      <c r="AE129" s="2"/>
      <c r="AF129" s="2"/>
    </row>
    <row r="130" spans="1:32" s="34" customFormat="1" ht="63" x14ac:dyDescent="0.25">
      <c r="A130" s="2"/>
      <c r="B130" s="2" t="s">
        <v>330</v>
      </c>
      <c r="C130" s="3" t="s">
        <v>331</v>
      </c>
      <c r="D130" s="7">
        <v>2016</v>
      </c>
      <c r="E130" s="81" t="s">
        <v>332</v>
      </c>
      <c r="F130" s="3" t="s">
        <v>57</v>
      </c>
      <c r="G130" s="7" t="s">
        <v>74</v>
      </c>
      <c r="H130" s="7" t="s">
        <v>47</v>
      </c>
      <c r="I130" s="7" t="s">
        <v>113</v>
      </c>
      <c r="J130" s="7" t="s">
        <v>74</v>
      </c>
      <c r="K130" s="7">
        <v>300</v>
      </c>
      <c r="L130" s="7" t="s">
        <v>113</v>
      </c>
      <c r="M130" s="7" t="s">
        <v>77</v>
      </c>
      <c r="N130" s="7" t="s">
        <v>74</v>
      </c>
      <c r="O130" s="7" t="s">
        <v>74</v>
      </c>
      <c r="P130" s="7" t="s">
        <v>88</v>
      </c>
      <c r="Q130" s="7" t="s">
        <v>74</v>
      </c>
      <c r="R130" s="7" t="s">
        <v>74</v>
      </c>
      <c r="S130" s="7" t="s">
        <v>481</v>
      </c>
      <c r="T130" s="7" t="s">
        <v>53</v>
      </c>
      <c r="U130" s="7" t="s">
        <v>47</v>
      </c>
      <c r="V130" s="4" t="s">
        <v>482</v>
      </c>
      <c r="W130" s="302">
        <f>'ITRS data'!AC24</f>
        <v>13</v>
      </c>
      <c r="X130" s="2"/>
      <c r="Y130" s="2"/>
      <c r="Z130" s="2"/>
      <c r="AA130" s="2"/>
      <c r="AB130" s="2"/>
      <c r="AC130" s="2"/>
      <c r="AD130" s="2"/>
      <c r="AE130" s="2"/>
      <c r="AF130" s="2"/>
    </row>
    <row r="131" spans="1:32" s="34" customFormat="1" ht="63" x14ac:dyDescent="0.25">
      <c r="A131" s="2"/>
      <c r="B131" s="2" t="s">
        <v>330</v>
      </c>
      <c r="C131" s="3" t="s">
        <v>331</v>
      </c>
      <c r="D131" s="7">
        <v>2017</v>
      </c>
      <c r="E131" s="81" t="s">
        <v>332</v>
      </c>
      <c r="F131" s="3" t="s">
        <v>57</v>
      </c>
      <c r="G131" s="7" t="s">
        <v>74</v>
      </c>
      <c r="H131" s="7" t="s">
        <v>47</v>
      </c>
      <c r="I131" s="7" t="s">
        <v>113</v>
      </c>
      <c r="J131" s="7" t="s">
        <v>74</v>
      </c>
      <c r="K131" s="7">
        <v>300</v>
      </c>
      <c r="L131" s="7" t="s">
        <v>113</v>
      </c>
      <c r="M131" s="7" t="s">
        <v>77</v>
      </c>
      <c r="N131" s="7" t="s">
        <v>74</v>
      </c>
      <c r="O131" s="7" t="s">
        <v>74</v>
      </c>
      <c r="P131" s="7" t="s">
        <v>88</v>
      </c>
      <c r="Q131" s="7" t="s">
        <v>74</v>
      </c>
      <c r="R131" s="7" t="s">
        <v>74</v>
      </c>
      <c r="S131" s="7" t="s">
        <v>481</v>
      </c>
      <c r="T131" s="7" t="s">
        <v>53</v>
      </c>
      <c r="U131" s="7" t="s">
        <v>47</v>
      </c>
      <c r="V131" s="4" t="s">
        <v>482</v>
      </c>
      <c r="W131" s="302">
        <f>'ITRS data'!AC25</f>
        <v>12.4</v>
      </c>
      <c r="X131" s="2"/>
      <c r="Y131" s="2"/>
      <c r="Z131" s="2"/>
      <c r="AA131" s="2"/>
      <c r="AB131" s="2"/>
      <c r="AC131" s="2"/>
      <c r="AD131" s="2"/>
      <c r="AE131" s="2"/>
      <c r="AF131" s="2"/>
    </row>
    <row r="132" spans="1:32" s="34" customFormat="1" ht="63" x14ac:dyDescent="0.25">
      <c r="A132" s="2"/>
      <c r="B132" s="2" t="s">
        <v>330</v>
      </c>
      <c r="C132" s="3" t="s">
        <v>331</v>
      </c>
      <c r="D132" s="7">
        <v>2018</v>
      </c>
      <c r="E132" s="81" t="s">
        <v>332</v>
      </c>
      <c r="F132" s="3" t="s">
        <v>57</v>
      </c>
      <c r="G132" s="7" t="s">
        <v>74</v>
      </c>
      <c r="H132" s="7" t="s">
        <v>47</v>
      </c>
      <c r="I132" s="7" t="s">
        <v>113</v>
      </c>
      <c r="J132" s="7" t="s">
        <v>74</v>
      </c>
      <c r="K132" s="7">
        <v>300</v>
      </c>
      <c r="L132" s="7" t="s">
        <v>113</v>
      </c>
      <c r="M132" s="7" t="s">
        <v>77</v>
      </c>
      <c r="N132" s="7" t="s">
        <v>74</v>
      </c>
      <c r="O132" s="7" t="s">
        <v>74</v>
      </c>
      <c r="P132" s="7" t="s">
        <v>88</v>
      </c>
      <c r="Q132" s="7" t="s">
        <v>74</v>
      </c>
      <c r="R132" s="7" t="s">
        <v>74</v>
      </c>
      <c r="S132" s="7" t="s">
        <v>481</v>
      </c>
      <c r="T132" s="7" t="s">
        <v>53</v>
      </c>
      <c r="U132" s="7" t="s">
        <v>47</v>
      </c>
      <c r="V132" s="4" t="s">
        <v>482</v>
      </c>
      <c r="W132" s="302">
        <f>'ITRS data'!AC26</f>
        <v>12.4</v>
      </c>
      <c r="X132" s="2"/>
      <c r="Y132" s="2"/>
      <c r="Z132" s="2"/>
      <c r="AA132" s="2"/>
      <c r="AB132" s="2"/>
      <c r="AC132" s="2"/>
      <c r="AD132" s="2"/>
      <c r="AE132" s="2"/>
      <c r="AF132" s="2"/>
    </row>
    <row r="133" spans="1:32" s="34" customFormat="1" ht="63" x14ac:dyDescent="0.25">
      <c r="A133" s="2"/>
      <c r="B133" s="2" t="s">
        <v>330</v>
      </c>
      <c r="C133" s="3" t="s">
        <v>331</v>
      </c>
      <c r="D133" s="7">
        <v>2019</v>
      </c>
      <c r="E133" s="81" t="s">
        <v>332</v>
      </c>
      <c r="F133" s="3" t="s">
        <v>57</v>
      </c>
      <c r="G133" s="7" t="s">
        <v>74</v>
      </c>
      <c r="H133" s="7" t="s">
        <v>47</v>
      </c>
      <c r="I133" s="7" t="s">
        <v>113</v>
      </c>
      <c r="J133" s="7" t="s">
        <v>74</v>
      </c>
      <c r="K133" s="7">
        <v>300</v>
      </c>
      <c r="L133" s="7" t="s">
        <v>113</v>
      </c>
      <c r="M133" s="7" t="s">
        <v>77</v>
      </c>
      <c r="N133" s="7" t="s">
        <v>74</v>
      </c>
      <c r="O133" s="7" t="s">
        <v>74</v>
      </c>
      <c r="P133" s="7" t="s">
        <v>88</v>
      </c>
      <c r="Q133" s="7" t="s">
        <v>74</v>
      </c>
      <c r="R133" s="7" t="s">
        <v>74</v>
      </c>
      <c r="S133" s="7" t="s">
        <v>481</v>
      </c>
      <c r="T133" s="7" t="s">
        <v>53</v>
      </c>
      <c r="U133" s="7" t="s">
        <v>47</v>
      </c>
      <c r="V133" s="4" t="s">
        <v>482</v>
      </c>
      <c r="W133" s="302">
        <f>'ITRS data'!AC27</f>
        <v>10.8</v>
      </c>
      <c r="X133" s="2"/>
      <c r="Y133" s="2"/>
      <c r="Z133" s="2"/>
      <c r="AA133" s="2"/>
      <c r="AB133" s="2"/>
      <c r="AC133" s="2"/>
      <c r="AD133" s="2"/>
      <c r="AE133" s="2"/>
      <c r="AF133" s="2"/>
    </row>
    <row r="134" spans="1:32" s="34" customFormat="1" ht="63" x14ac:dyDescent="0.25">
      <c r="A134" s="2"/>
      <c r="B134" s="2" t="s">
        <v>330</v>
      </c>
      <c r="C134" s="3" t="s">
        <v>331</v>
      </c>
      <c r="D134" s="7">
        <v>2020</v>
      </c>
      <c r="E134" s="81" t="s">
        <v>332</v>
      </c>
      <c r="F134" s="3" t="s">
        <v>57</v>
      </c>
      <c r="G134" s="7" t="s">
        <v>74</v>
      </c>
      <c r="H134" s="7" t="s">
        <v>47</v>
      </c>
      <c r="I134" s="7" t="s">
        <v>113</v>
      </c>
      <c r="J134" s="7" t="s">
        <v>74</v>
      </c>
      <c r="K134" s="7">
        <v>300</v>
      </c>
      <c r="L134" s="7" t="s">
        <v>113</v>
      </c>
      <c r="M134" s="7" t="s">
        <v>77</v>
      </c>
      <c r="N134" s="7" t="s">
        <v>74</v>
      </c>
      <c r="O134" s="7" t="s">
        <v>74</v>
      </c>
      <c r="P134" s="7" t="s">
        <v>88</v>
      </c>
      <c r="Q134" s="7" t="s">
        <v>74</v>
      </c>
      <c r="R134" s="7" t="s">
        <v>74</v>
      </c>
      <c r="S134" s="7" t="s">
        <v>481</v>
      </c>
      <c r="T134" s="7" t="s">
        <v>53</v>
      </c>
      <c r="U134" s="7" t="s">
        <v>47</v>
      </c>
      <c r="V134" s="4" t="s">
        <v>482</v>
      </c>
      <c r="W134" s="302">
        <f>'ITRS data'!AC28</f>
        <v>10.5</v>
      </c>
      <c r="X134" s="2"/>
      <c r="Y134" s="2"/>
      <c r="Z134" s="2"/>
      <c r="AA134" s="2"/>
      <c r="AB134" s="2"/>
      <c r="AC134" s="2"/>
      <c r="AD134" s="2"/>
      <c r="AE134" s="2"/>
      <c r="AF134" s="2"/>
    </row>
    <row r="135" spans="1:32" s="34" customFormat="1" ht="63" x14ac:dyDescent="0.25">
      <c r="A135" s="2"/>
      <c r="B135" s="2" t="s">
        <v>330</v>
      </c>
      <c r="C135" s="3" t="s">
        <v>331</v>
      </c>
      <c r="D135" s="7">
        <v>2013</v>
      </c>
      <c r="E135" s="81" t="s">
        <v>332</v>
      </c>
      <c r="F135" s="3" t="s">
        <v>57</v>
      </c>
      <c r="G135" s="7" t="s">
        <v>74</v>
      </c>
      <c r="H135" s="7" t="s">
        <v>47</v>
      </c>
      <c r="I135" s="7" t="s">
        <v>113</v>
      </c>
      <c r="J135" s="7" t="s">
        <v>74</v>
      </c>
      <c r="K135" s="7">
        <v>200</v>
      </c>
      <c r="L135" s="7" t="s">
        <v>113</v>
      </c>
      <c r="M135" s="7" t="s">
        <v>77</v>
      </c>
      <c r="N135" s="7" t="s">
        <v>74</v>
      </c>
      <c r="O135" s="7" t="s">
        <v>74</v>
      </c>
      <c r="P135" s="7" t="s">
        <v>88</v>
      </c>
      <c r="Q135" s="7" t="s">
        <v>74</v>
      </c>
      <c r="R135" s="7" t="s">
        <v>74</v>
      </c>
      <c r="S135" s="7" t="s">
        <v>481</v>
      </c>
      <c r="T135" s="7" t="s">
        <v>53</v>
      </c>
      <c r="U135" s="7" t="s">
        <v>47</v>
      </c>
      <c r="V135" s="4" t="s">
        <v>482</v>
      </c>
      <c r="W135" s="302">
        <f>'ITRS data'!AB21</f>
        <v>14.1</v>
      </c>
      <c r="X135" s="2"/>
      <c r="Y135" s="2"/>
      <c r="Z135" s="2"/>
      <c r="AA135" s="2"/>
      <c r="AB135" s="2"/>
      <c r="AC135" s="2"/>
      <c r="AD135" s="2"/>
      <c r="AE135" s="2"/>
      <c r="AF135" s="2"/>
    </row>
    <row r="136" spans="1:32" s="34" customFormat="1" ht="63" x14ac:dyDescent="0.25">
      <c r="A136" s="2"/>
      <c r="B136" s="2" t="s">
        <v>330</v>
      </c>
      <c r="C136" s="3" t="s">
        <v>331</v>
      </c>
      <c r="D136" s="7">
        <v>2014</v>
      </c>
      <c r="E136" s="81" t="s">
        <v>332</v>
      </c>
      <c r="F136" s="3" t="s">
        <v>57</v>
      </c>
      <c r="G136" s="7" t="s">
        <v>74</v>
      </c>
      <c r="H136" s="7" t="s">
        <v>47</v>
      </c>
      <c r="I136" s="7" t="s">
        <v>113</v>
      </c>
      <c r="J136" s="7" t="s">
        <v>74</v>
      </c>
      <c r="K136" s="7">
        <v>200</v>
      </c>
      <c r="L136" s="7" t="s">
        <v>113</v>
      </c>
      <c r="M136" s="7" t="s">
        <v>77</v>
      </c>
      <c r="N136" s="7" t="s">
        <v>74</v>
      </c>
      <c r="O136" s="7" t="s">
        <v>74</v>
      </c>
      <c r="P136" s="7" t="s">
        <v>88</v>
      </c>
      <c r="Q136" s="7" t="s">
        <v>74</v>
      </c>
      <c r="R136" s="7" t="s">
        <v>74</v>
      </c>
      <c r="S136" s="7" t="s">
        <v>481</v>
      </c>
      <c r="T136" s="7" t="s">
        <v>53</v>
      </c>
      <c r="U136" s="7" t="s">
        <v>47</v>
      </c>
      <c r="V136" s="4" t="s">
        <v>482</v>
      </c>
      <c r="W136" s="302">
        <f>'ITRS data'!AB22</f>
        <v>14.1</v>
      </c>
      <c r="X136" s="2"/>
      <c r="Y136" s="2"/>
      <c r="Z136" s="2"/>
      <c r="AA136" s="2"/>
      <c r="AB136" s="2"/>
      <c r="AC136" s="2"/>
      <c r="AD136" s="2"/>
      <c r="AE136" s="2"/>
      <c r="AF136" s="2"/>
    </row>
    <row r="137" spans="1:32" s="34" customFormat="1" ht="63" x14ac:dyDescent="0.25">
      <c r="A137" s="2"/>
      <c r="B137" s="2" t="s">
        <v>330</v>
      </c>
      <c r="C137" s="3" t="s">
        <v>331</v>
      </c>
      <c r="D137" s="7">
        <v>2015</v>
      </c>
      <c r="E137" s="81" t="s">
        <v>332</v>
      </c>
      <c r="F137" s="3" t="s">
        <v>57</v>
      </c>
      <c r="G137" s="7" t="s">
        <v>74</v>
      </c>
      <c r="H137" s="7" t="s">
        <v>47</v>
      </c>
      <c r="I137" s="7" t="s">
        <v>113</v>
      </c>
      <c r="J137" s="7" t="s">
        <v>74</v>
      </c>
      <c r="K137" s="7">
        <v>200</v>
      </c>
      <c r="L137" s="7" t="s">
        <v>113</v>
      </c>
      <c r="M137" s="7" t="s">
        <v>77</v>
      </c>
      <c r="N137" s="7" t="s">
        <v>74</v>
      </c>
      <c r="O137" s="7" t="s">
        <v>74</v>
      </c>
      <c r="P137" s="7" t="s">
        <v>88</v>
      </c>
      <c r="Q137" s="7" t="s">
        <v>74</v>
      </c>
      <c r="R137" s="7" t="s">
        <v>74</v>
      </c>
      <c r="S137" s="7" t="s">
        <v>481</v>
      </c>
      <c r="T137" s="7" t="s">
        <v>53</v>
      </c>
      <c r="U137" s="7" t="s">
        <v>47</v>
      </c>
      <c r="V137" s="4" t="s">
        <v>482</v>
      </c>
      <c r="W137" s="302">
        <f>'ITRS data'!AB23</f>
        <v>13.5</v>
      </c>
      <c r="X137" s="2"/>
      <c r="Y137" s="2"/>
      <c r="Z137" s="2"/>
      <c r="AA137" s="2"/>
      <c r="AB137" s="2"/>
      <c r="AC137" s="2"/>
      <c r="AD137" s="2"/>
      <c r="AE137" s="2"/>
      <c r="AF137" s="2"/>
    </row>
    <row r="138" spans="1:32" s="34" customFormat="1" ht="63" x14ac:dyDescent="0.25">
      <c r="A138" s="2"/>
      <c r="B138" s="2" t="s">
        <v>330</v>
      </c>
      <c r="C138" s="3" t="s">
        <v>331</v>
      </c>
      <c r="D138" s="7">
        <v>2016</v>
      </c>
      <c r="E138" s="81" t="s">
        <v>332</v>
      </c>
      <c r="F138" s="3" t="s">
        <v>57</v>
      </c>
      <c r="G138" s="7" t="s">
        <v>74</v>
      </c>
      <c r="H138" s="7" t="s">
        <v>47</v>
      </c>
      <c r="I138" s="7" t="s">
        <v>113</v>
      </c>
      <c r="J138" s="7" t="s">
        <v>74</v>
      </c>
      <c r="K138" s="7">
        <v>200</v>
      </c>
      <c r="L138" s="7" t="s">
        <v>113</v>
      </c>
      <c r="M138" s="7" t="s">
        <v>77</v>
      </c>
      <c r="N138" s="7" t="s">
        <v>74</v>
      </c>
      <c r="O138" s="7" t="s">
        <v>74</v>
      </c>
      <c r="P138" s="7" t="s">
        <v>88</v>
      </c>
      <c r="Q138" s="7" t="s">
        <v>74</v>
      </c>
      <c r="R138" s="7" t="s">
        <v>74</v>
      </c>
      <c r="S138" s="7" t="s">
        <v>481</v>
      </c>
      <c r="T138" s="7" t="s">
        <v>53</v>
      </c>
      <c r="U138" s="7" t="s">
        <v>47</v>
      </c>
      <c r="V138" s="4" t="s">
        <v>482</v>
      </c>
      <c r="W138" s="302">
        <f>'ITRS data'!AB24</f>
        <v>12.4</v>
      </c>
      <c r="X138" s="2"/>
      <c r="Y138" s="2"/>
      <c r="Z138" s="2"/>
      <c r="AA138" s="2"/>
      <c r="AB138" s="2"/>
      <c r="AC138" s="2"/>
      <c r="AD138" s="2"/>
      <c r="AE138" s="2"/>
      <c r="AF138" s="2"/>
    </row>
    <row r="139" spans="1:32" s="34" customFormat="1" ht="63" x14ac:dyDescent="0.25">
      <c r="A139" s="2"/>
      <c r="B139" s="2" t="s">
        <v>330</v>
      </c>
      <c r="C139" s="3" t="s">
        <v>331</v>
      </c>
      <c r="D139" s="7">
        <v>2017</v>
      </c>
      <c r="E139" s="81" t="s">
        <v>332</v>
      </c>
      <c r="F139" s="3" t="s">
        <v>57</v>
      </c>
      <c r="G139" s="7" t="s">
        <v>74</v>
      </c>
      <c r="H139" s="7" t="s">
        <v>47</v>
      </c>
      <c r="I139" s="7" t="s">
        <v>113</v>
      </c>
      <c r="J139" s="7" t="s">
        <v>74</v>
      </c>
      <c r="K139" s="7">
        <v>200</v>
      </c>
      <c r="L139" s="7" t="s">
        <v>113</v>
      </c>
      <c r="M139" s="7" t="s">
        <v>77</v>
      </c>
      <c r="N139" s="7" t="s">
        <v>74</v>
      </c>
      <c r="O139" s="7" t="s">
        <v>74</v>
      </c>
      <c r="P139" s="7" t="s">
        <v>88</v>
      </c>
      <c r="Q139" s="7" t="s">
        <v>74</v>
      </c>
      <c r="R139" s="7" t="s">
        <v>74</v>
      </c>
      <c r="S139" s="7" t="s">
        <v>481</v>
      </c>
      <c r="T139" s="7" t="s">
        <v>53</v>
      </c>
      <c r="U139" s="7" t="s">
        <v>47</v>
      </c>
      <c r="V139" s="4" t="s">
        <v>482</v>
      </c>
      <c r="W139" s="302">
        <f>'ITRS data'!AB25</f>
        <v>11.8</v>
      </c>
      <c r="X139" s="2"/>
      <c r="Y139" s="2"/>
      <c r="Z139" s="2"/>
      <c r="AA139" s="2"/>
      <c r="AB139" s="2"/>
      <c r="AC139" s="2"/>
      <c r="AD139" s="2"/>
      <c r="AE139" s="2"/>
      <c r="AF139" s="2"/>
    </row>
    <row r="140" spans="1:32" s="34" customFormat="1" ht="63" x14ac:dyDescent="0.25">
      <c r="A140" s="2"/>
      <c r="B140" s="2" t="s">
        <v>330</v>
      </c>
      <c r="C140" s="3" t="s">
        <v>331</v>
      </c>
      <c r="D140" s="7">
        <v>2018</v>
      </c>
      <c r="E140" s="81" t="s">
        <v>332</v>
      </c>
      <c r="F140" s="3" t="s">
        <v>57</v>
      </c>
      <c r="G140" s="7" t="s">
        <v>74</v>
      </c>
      <c r="H140" s="7" t="s">
        <v>47</v>
      </c>
      <c r="I140" s="7" t="s">
        <v>113</v>
      </c>
      <c r="J140" s="7" t="s">
        <v>74</v>
      </c>
      <c r="K140" s="7">
        <v>200</v>
      </c>
      <c r="L140" s="7" t="s">
        <v>113</v>
      </c>
      <c r="M140" s="7" t="s">
        <v>77</v>
      </c>
      <c r="N140" s="7" t="s">
        <v>74</v>
      </c>
      <c r="O140" s="7" t="s">
        <v>74</v>
      </c>
      <c r="P140" s="7" t="s">
        <v>88</v>
      </c>
      <c r="Q140" s="7" t="s">
        <v>74</v>
      </c>
      <c r="R140" s="7" t="s">
        <v>74</v>
      </c>
      <c r="S140" s="7" t="s">
        <v>481</v>
      </c>
      <c r="T140" s="7" t="s">
        <v>53</v>
      </c>
      <c r="U140" s="7" t="s">
        <v>47</v>
      </c>
      <c r="V140" s="4" t="s">
        <v>482</v>
      </c>
      <c r="W140" s="302">
        <f>'ITRS data'!AB26</f>
        <v>11.8</v>
      </c>
      <c r="X140" s="2"/>
      <c r="Y140" s="2"/>
      <c r="Z140" s="2"/>
      <c r="AA140" s="2"/>
      <c r="AB140" s="2"/>
      <c r="AC140" s="2"/>
      <c r="AD140" s="2"/>
      <c r="AE140" s="2"/>
      <c r="AF140" s="2"/>
    </row>
    <row r="141" spans="1:32" s="34" customFormat="1" ht="63" x14ac:dyDescent="0.25">
      <c r="A141" s="2"/>
      <c r="B141" s="2" t="s">
        <v>330</v>
      </c>
      <c r="C141" s="3" t="s">
        <v>331</v>
      </c>
      <c r="D141" s="7">
        <v>2019</v>
      </c>
      <c r="E141" s="81" t="s">
        <v>332</v>
      </c>
      <c r="F141" s="3" t="s">
        <v>57</v>
      </c>
      <c r="G141" s="7" t="s">
        <v>74</v>
      </c>
      <c r="H141" s="7" t="s">
        <v>47</v>
      </c>
      <c r="I141" s="7" t="s">
        <v>113</v>
      </c>
      <c r="J141" s="7" t="s">
        <v>74</v>
      </c>
      <c r="K141" s="7">
        <v>200</v>
      </c>
      <c r="L141" s="7" t="s">
        <v>113</v>
      </c>
      <c r="M141" s="7" t="s">
        <v>77</v>
      </c>
      <c r="N141" s="7" t="s">
        <v>74</v>
      </c>
      <c r="O141" s="7" t="s">
        <v>74</v>
      </c>
      <c r="P141" s="7" t="s">
        <v>88</v>
      </c>
      <c r="Q141" s="7" t="s">
        <v>74</v>
      </c>
      <c r="R141" s="7" t="s">
        <v>74</v>
      </c>
      <c r="S141" s="7" t="s">
        <v>481</v>
      </c>
      <c r="T141" s="7" t="s">
        <v>53</v>
      </c>
      <c r="U141" s="7" t="s">
        <v>47</v>
      </c>
      <c r="V141" s="4" t="s">
        <v>482</v>
      </c>
      <c r="W141" s="302">
        <f>'ITRS data'!AB27</f>
        <v>10</v>
      </c>
      <c r="X141" s="2"/>
      <c r="Y141" s="2"/>
      <c r="Z141" s="2"/>
      <c r="AA141" s="2"/>
      <c r="AB141" s="2"/>
      <c r="AC141" s="2"/>
      <c r="AD141" s="2"/>
      <c r="AE141" s="2"/>
      <c r="AF141" s="2"/>
    </row>
    <row r="142" spans="1:32" s="34" customFormat="1" ht="63" x14ac:dyDescent="0.25">
      <c r="A142" s="2"/>
      <c r="B142" s="2" t="s">
        <v>330</v>
      </c>
      <c r="C142" s="3" t="s">
        <v>331</v>
      </c>
      <c r="D142" s="7">
        <v>2020</v>
      </c>
      <c r="E142" s="81" t="s">
        <v>332</v>
      </c>
      <c r="F142" s="3" t="s">
        <v>57</v>
      </c>
      <c r="G142" s="7" t="s">
        <v>74</v>
      </c>
      <c r="H142" s="7" t="s">
        <v>47</v>
      </c>
      <c r="I142" s="7" t="s">
        <v>113</v>
      </c>
      <c r="J142" s="7" t="s">
        <v>74</v>
      </c>
      <c r="K142" s="7">
        <v>200</v>
      </c>
      <c r="L142" s="7" t="s">
        <v>113</v>
      </c>
      <c r="M142" s="7" t="s">
        <v>77</v>
      </c>
      <c r="N142" s="7" t="s">
        <v>74</v>
      </c>
      <c r="O142" s="7" t="s">
        <v>74</v>
      </c>
      <c r="P142" s="7" t="s">
        <v>88</v>
      </c>
      <c r="Q142" s="7" t="s">
        <v>74</v>
      </c>
      <c r="R142" s="7" t="s">
        <v>74</v>
      </c>
      <c r="S142" s="7" t="s">
        <v>481</v>
      </c>
      <c r="T142" s="7" t="s">
        <v>53</v>
      </c>
      <c r="U142" s="7" t="s">
        <v>47</v>
      </c>
      <c r="V142" s="4" t="s">
        <v>482</v>
      </c>
      <c r="W142" s="302">
        <f>'ITRS data'!AB28</f>
        <v>9.8000000000000007</v>
      </c>
      <c r="X142" s="2"/>
      <c r="Y142" s="2"/>
      <c r="Z142" s="2"/>
      <c r="AA142" s="2"/>
      <c r="AB142" s="2"/>
      <c r="AC142" s="2"/>
      <c r="AD142" s="2"/>
      <c r="AE142" s="2"/>
      <c r="AF142" s="2"/>
    </row>
    <row r="143" spans="1:32" s="345" customFormat="1" x14ac:dyDescent="0.25">
      <c r="A143" s="336"/>
      <c r="B143" s="336"/>
      <c r="C143" s="336"/>
      <c r="D143" s="336"/>
      <c r="E143" s="337"/>
      <c r="F143" s="336"/>
      <c r="G143" s="336"/>
      <c r="H143" s="336"/>
      <c r="I143" s="336"/>
      <c r="J143" s="336"/>
      <c r="K143" s="336"/>
      <c r="L143" s="336"/>
      <c r="M143" s="336"/>
      <c r="N143" s="336"/>
      <c r="O143" s="336"/>
      <c r="P143" s="336"/>
      <c r="Q143" s="336"/>
      <c r="R143" s="336"/>
      <c r="S143" s="336"/>
      <c r="T143" s="336"/>
      <c r="U143" s="336"/>
      <c r="V143" s="336"/>
      <c r="W143" s="340"/>
      <c r="X143" s="336"/>
      <c r="Y143" s="336"/>
      <c r="Z143" s="336"/>
      <c r="AA143" s="336"/>
      <c r="AB143" s="336"/>
      <c r="AC143" s="336"/>
      <c r="AD143" s="336"/>
      <c r="AE143" s="326"/>
      <c r="AF143" s="326"/>
    </row>
    <row r="144" spans="1:32" s="34" customFormat="1" ht="157.5" x14ac:dyDescent="0.25">
      <c r="A144" s="2"/>
      <c r="B144" s="2" t="s">
        <v>334</v>
      </c>
      <c r="C144" s="3" t="s">
        <v>335</v>
      </c>
      <c r="D144" s="3">
        <v>2022</v>
      </c>
      <c r="E144" s="81" t="s">
        <v>336</v>
      </c>
      <c r="F144" s="3" t="s">
        <v>62</v>
      </c>
      <c r="G144" s="3" t="s">
        <v>46</v>
      </c>
      <c r="H144" s="3" t="s">
        <v>47</v>
      </c>
      <c r="I144" s="3" t="s">
        <v>47</v>
      </c>
      <c r="J144" s="3">
        <f>'GaBi data'!B8</f>
        <v>350</v>
      </c>
      <c r="K144" s="7">
        <v>300</v>
      </c>
      <c r="L144" s="3" t="s">
        <v>47</v>
      </c>
      <c r="M144" s="3" t="s">
        <v>77</v>
      </c>
      <c r="N144" s="3" t="s">
        <v>47</v>
      </c>
      <c r="O144" s="3" t="s">
        <v>337</v>
      </c>
      <c r="P144" s="3" t="s">
        <v>88</v>
      </c>
      <c r="Q144" s="3" t="s">
        <v>338</v>
      </c>
      <c r="R144" s="3" t="s">
        <v>58</v>
      </c>
      <c r="S144" s="3" t="s">
        <v>47</v>
      </c>
      <c r="T144" s="3" t="s">
        <v>81</v>
      </c>
      <c r="U144" s="3" t="s">
        <v>47</v>
      </c>
      <c r="V144" s="4" t="s">
        <v>339</v>
      </c>
      <c r="W144" s="302" t="str">
        <f>'GaBi data'!F8</f>
        <v>NA</v>
      </c>
      <c r="X144" s="2"/>
      <c r="Y144" s="2"/>
      <c r="Z144" s="2"/>
      <c r="AA144" s="2"/>
      <c r="AB144" s="2"/>
      <c r="AC144" s="2"/>
      <c r="AD144" s="2"/>
      <c r="AE144" s="2"/>
      <c r="AF144" s="2"/>
    </row>
    <row r="145" spans="1:32" s="34" customFormat="1" ht="157.5" x14ac:dyDescent="0.25">
      <c r="A145" s="2"/>
      <c r="B145" s="2" t="s">
        <v>334</v>
      </c>
      <c r="C145" s="3" t="s">
        <v>335</v>
      </c>
      <c r="D145" s="3">
        <v>2022</v>
      </c>
      <c r="E145" s="81" t="s">
        <v>336</v>
      </c>
      <c r="F145" s="3" t="s">
        <v>62</v>
      </c>
      <c r="G145" s="3" t="s">
        <v>46</v>
      </c>
      <c r="H145" s="3" t="s">
        <v>47</v>
      </c>
      <c r="I145" s="3" t="s">
        <v>47</v>
      </c>
      <c r="J145" s="3">
        <f>'GaBi data'!B9</f>
        <v>250</v>
      </c>
      <c r="K145" s="7">
        <v>300</v>
      </c>
      <c r="L145" s="3" t="s">
        <v>47</v>
      </c>
      <c r="M145" s="3" t="s">
        <v>77</v>
      </c>
      <c r="N145" s="3" t="s">
        <v>47</v>
      </c>
      <c r="O145" s="3" t="s">
        <v>337</v>
      </c>
      <c r="P145" s="3" t="s">
        <v>88</v>
      </c>
      <c r="Q145" s="3" t="s">
        <v>338</v>
      </c>
      <c r="R145" s="3" t="s">
        <v>58</v>
      </c>
      <c r="S145" s="3" t="s">
        <v>47</v>
      </c>
      <c r="T145" s="3" t="s">
        <v>81</v>
      </c>
      <c r="U145" s="3" t="s">
        <v>47</v>
      </c>
      <c r="V145" s="4" t="s">
        <v>339</v>
      </c>
      <c r="W145" s="302" t="str">
        <f>'GaBi data'!F9</f>
        <v>NA</v>
      </c>
      <c r="X145" s="2"/>
      <c r="Y145" s="2"/>
      <c r="Z145" s="2"/>
      <c r="AA145" s="2"/>
      <c r="AB145" s="2"/>
      <c r="AC145" s="2"/>
      <c r="AD145" s="2"/>
      <c r="AE145" s="2"/>
      <c r="AF145" s="2"/>
    </row>
    <row r="146" spans="1:32" s="34" customFormat="1" ht="157.5" x14ac:dyDescent="0.25">
      <c r="A146" s="2"/>
      <c r="B146" s="2" t="s">
        <v>334</v>
      </c>
      <c r="C146" s="3" t="s">
        <v>335</v>
      </c>
      <c r="D146" s="3">
        <v>2022</v>
      </c>
      <c r="E146" s="81" t="s">
        <v>336</v>
      </c>
      <c r="F146" s="3" t="s">
        <v>62</v>
      </c>
      <c r="G146" s="3" t="s">
        <v>46</v>
      </c>
      <c r="H146" s="3" t="s">
        <v>47</v>
      </c>
      <c r="I146" s="3" t="s">
        <v>47</v>
      </c>
      <c r="J146" s="3">
        <f>'GaBi data'!B10</f>
        <v>180</v>
      </c>
      <c r="K146" s="7">
        <v>300</v>
      </c>
      <c r="L146" s="3" t="s">
        <v>47</v>
      </c>
      <c r="M146" s="3" t="s">
        <v>77</v>
      </c>
      <c r="N146" s="3" t="s">
        <v>47</v>
      </c>
      <c r="O146" s="3" t="s">
        <v>337</v>
      </c>
      <c r="P146" s="3" t="s">
        <v>88</v>
      </c>
      <c r="Q146" s="3" t="s">
        <v>338</v>
      </c>
      <c r="R146" s="3" t="s">
        <v>58</v>
      </c>
      <c r="S146" s="3" t="s">
        <v>47</v>
      </c>
      <c r="T146" s="3" t="s">
        <v>81</v>
      </c>
      <c r="U146" s="3" t="s">
        <v>47</v>
      </c>
      <c r="V146" s="4" t="s">
        <v>339</v>
      </c>
      <c r="W146" s="302" t="str">
        <f>'GaBi data'!F10</f>
        <v>NA</v>
      </c>
      <c r="X146" s="2"/>
      <c r="Y146" s="2"/>
      <c r="Z146" s="2"/>
      <c r="AA146" s="2"/>
      <c r="AB146" s="2"/>
      <c r="AC146" s="2"/>
      <c r="AD146" s="2"/>
      <c r="AE146" s="2"/>
      <c r="AF146" s="2"/>
    </row>
    <row r="147" spans="1:32" s="34" customFormat="1" ht="157.5" x14ac:dyDescent="0.25">
      <c r="A147" s="2"/>
      <c r="B147" s="2" t="s">
        <v>334</v>
      </c>
      <c r="C147" s="3" t="s">
        <v>335</v>
      </c>
      <c r="D147" s="3">
        <v>2022</v>
      </c>
      <c r="E147" s="81" t="s">
        <v>336</v>
      </c>
      <c r="F147" s="3" t="s">
        <v>62</v>
      </c>
      <c r="G147" s="3" t="s">
        <v>46</v>
      </c>
      <c r="H147" s="3" t="s">
        <v>47</v>
      </c>
      <c r="I147" s="3" t="s">
        <v>47</v>
      </c>
      <c r="J147" s="3">
        <f>'GaBi data'!B11</f>
        <v>130</v>
      </c>
      <c r="K147" s="7">
        <v>300</v>
      </c>
      <c r="L147" s="3" t="s">
        <v>47</v>
      </c>
      <c r="M147" s="3" t="s">
        <v>77</v>
      </c>
      <c r="N147" s="3" t="s">
        <v>47</v>
      </c>
      <c r="O147" s="3" t="s">
        <v>337</v>
      </c>
      <c r="P147" s="3" t="s">
        <v>88</v>
      </c>
      <c r="Q147" s="3" t="s">
        <v>338</v>
      </c>
      <c r="R147" s="3" t="s">
        <v>58</v>
      </c>
      <c r="S147" s="3" t="s">
        <v>47</v>
      </c>
      <c r="T147" s="3" t="s">
        <v>81</v>
      </c>
      <c r="U147" s="3" t="s">
        <v>47</v>
      </c>
      <c r="V147" s="4" t="s">
        <v>339</v>
      </c>
      <c r="W147" s="302" t="str">
        <f>'GaBi data'!F11</f>
        <v>NA</v>
      </c>
      <c r="X147" s="2"/>
      <c r="Y147" s="2"/>
      <c r="Z147" s="2"/>
      <c r="AA147" s="2"/>
      <c r="AB147" s="2"/>
      <c r="AC147" s="2"/>
      <c r="AD147" s="2"/>
      <c r="AE147" s="2"/>
      <c r="AF147" s="2"/>
    </row>
    <row r="148" spans="1:32" s="34" customFormat="1" ht="157.5" x14ac:dyDescent="0.25">
      <c r="A148" s="2"/>
      <c r="B148" s="2" t="s">
        <v>334</v>
      </c>
      <c r="C148" s="3" t="s">
        <v>335</v>
      </c>
      <c r="D148" s="3">
        <v>2022</v>
      </c>
      <c r="E148" s="81" t="s">
        <v>336</v>
      </c>
      <c r="F148" s="3" t="s">
        <v>62</v>
      </c>
      <c r="G148" s="3" t="s">
        <v>46</v>
      </c>
      <c r="H148" s="3" t="s">
        <v>47</v>
      </c>
      <c r="I148" s="3" t="s">
        <v>47</v>
      </c>
      <c r="J148" s="3">
        <f>'GaBi data'!B12</f>
        <v>90</v>
      </c>
      <c r="K148" s="7">
        <v>300</v>
      </c>
      <c r="L148" s="3" t="s">
        <v>47</v>
      </c>
      <c r="M148" s="3" t="s">
        <v>77</v>
      </c>
      <c r="N148" s="3" t="s">
        <v>47</v>
      </c>
      <c r="O148" s="3" t="s">
        <v>337</v>
      </c>
      <c r="P148" s="3" t="s">
        <v>88</v>
      </c>
      <c r="Q148" s="3" t="s">
        <v>338</v>
      </c>
      <c r="R148" s="3" t="s">
        <v>58</v>
      </c>
      <c r="S148" s="3" t="s">
        <v>47</v>
      </c>
      <c r="T148" s="3" t="s">
        <v>81</v>
      </c>
      <c r="U148" s="3" t="s">
        <v>47</v>
      </c>
      <c r="V148" s="4" t="s">
        <v>339</v>
      </c>
      <c r="W148" s="302" t="str">
        <f>'GaBi data'!F12</f>
        <v>NA</v>
      </c>
      <c r="X148" s="2"/>
      <c r="Y148" s="2"/>
      <c r="Z148" s="2"/>
      <c r="AA148" s="2"/>
      <c r="AB148" s="2"/>
      <c r="AC148" s="2"/>
      <c r="AD148" s="2"/>
      <c r="AE148" s="2"/>
      <c r="AF148" s="2"/>
    </row>
    <row r="149" spans="1:32" s="34" customFormat="1" ht="157.5" x14ac:dyDescent="0.25">
      <c r="A149" s="2"/>
      <c r="B149" s="2" t="s">
        <v>334</v>
      </c>
      <c r="C149" s="3" t="s">
        <v>335</v>
      </c>
      <c r="D149" s="3">
        <v>2022</v>
      </c>
      <c r="E149" s="81" t="s">
        <v>336</v>
      </c>
      <c r="F149" s="3" t="s">
        <v>62</v>
      </c>
      <c r="G149" s="3" t="s">
        <v>46</v>
      </c>
      <c r="H149" s="3" t="s">
        <v>47</v>
      </c>
      <c r="I149" s="3" t="s">
        <v>47</v>
      </c>
      <c r="J149" s="3">
        <f>'GaBi data'!B13</f>
        <v>65</v>
      </c>
      <c r="K149" s="7">
        <v>300</v>
      </c>
      <c r="L149" s="3" t="s">
        <v>47</v>
      </c>
      <c r="M149" s="3" t="s">
        <v>77</v>
      </c>
      <c r="N149" s="3" t="s">
        <v>47</v>
      </c>
      <c r="O149" s="3" t="s">
        <v>337</v>
      </c>
      <c r="P149" s="3" t="s">
        <v>88</v>
      </c>
      <c r="Q149" s="3" t="s">
        <v>338</v>
      </c>
      <c r="R149" s="3" t="s">
        <v>58</v>
      </c>
      <c r="S149" s="3" t="s">
        <v>47</v>
      </c>
      <c r="T149" s="3" t="s">
        <v>81</v>
      </c>
      <c r="U149" s="3" t="s">
        <v>47</v>
      </c>
      <c r="V149" s="4" t="s">
        <v>339</v>
      </c>
      <c r="W149" s="302" t="str">
        <f>'GaBi data'!F13</f>
        <v>NA</v>
      </c>
      <c r="X149" s="2"/>
      <c r="Y149" s="2"/>
      <c r="Z149" s="2"/>
      <c r="AA149" s="2"/>
      <c r="AB149" s="2"/>
      <c r="AC149" s="2"/>
      <c r="AD149" s="2"/>
      <c r="AE149" s="2"/>
      <c r="AF149" s="2"/>
    </row>
    <row r="150" spans="1:32" s="34" customFormat="1" ht="157.5" x14ac:dyDescent="0.25">
      <c r="A150" s="2"/>
      <c r="B150" s="2" t="s">
        <v>334</v>
      </c>
      <c r="C150" s="3" t="s">
        <v>335</v>
      </c>
      <c r="D150" s="3">
        <v>2022</v>
      </c>
      <c r="E150" s="81" t="s">
        <v>336</v>
      </c>
      <c r="F150" s="3" t="s">
        <v>62</v>
      </c>
      <c r="G150" s="3" t="s">
        <v>46</v>
      </c>
      <c r="H150" s="3" t="s">
        <v>47</v>
      </c>
      <c r="I150" s="3" t="s">
        <v>47</v>
      </c>
      <c r="J150" s="3">
        <f>'GaBi data'!B14</f>
        <v>45</v>
      </c>
      <c r="K150" s="7">
        <v>300</v>
      </c>
      <c r="L150" s="3" t="s">
        <v>47</v>
      </c>
      <c r="M150" s="3" t="s">
        <v>77</v>
      </c>
      <c r="N150" s="3" t="s">
        <v>47</v>
      </c>
      <c r="O150" s="3" t="s">
        <v>337</v>
      </c>
      <c r="P150" s="3" t="s">
        <v>88</v>
      </c>
      <c r="Q150" s="3" t="s">
        <v>338</v>
      </c>
      <c r="R150" s="3" t="s">
        <v>58</v>
      </c>
      <c r="S150" s="3" t="s">
        <v>47</v>
      </c>
      <c r="T150" s="3" t="s">
        <v>81</v>
      </c>
      <c r="U150" s="3" t="s">
        <v>47</v>
      </c>
      <c r="V150" s="4" t="s">
        <v>339</v>
      </c>
      <c r="W150" s="302" t="str">
        <f>'GaBi data'!F14</f>
        <v>NA</v>
      </c>
      <c r="X150" s="2"/>
      <c r="Y150" s="2"/>
      <c r="Z150" s="2"/>
      <c r="AA150" s="2"/>
      <c r="AB150" s="2"/>
      <c r="AC150" s="2"/>
      <c r="AD150" s="2"/>
      <c r="AE150" s="2"/>
      <c r="AF150" s="2"/>
    </row>
    <row r="151" spans="1:32" s="34" customFormat="1" ht="157.5" x14ac:dyDescent="0.25">
      <c r="A151" s="2"/>
      <c r="B151" s="2" t="s">
        <v>334</v>
      </c>
      <c r="C151" s="3" t="s">
        <v>335</v>
      </c>
      <c r="D151" s="3">
        <v>2022</v>
      </c>
      <c r="E151" s="81" t="s">
        <v>336</v>
      </c>
      <c r="F151" s="3" t="s">
        <v>62</v>
      </c>
      <c r="G151" s="3" t="s">
        <v>46</v>
      </c>
      <c r="H151" s="3" t="s">
        <v>47</v>
      </c>
      <c r="I151" s="3" t="s">
        <v>47</v>
      </c>
      <c r="J151" s="3">
        <f>'GaBi data'!B15</f>
        <v>32</v>
      </c>
      <c r="K151" s="7">
        <v>300</v>
      </c>
      <c r="L151" s="3" t="s">
        <v>47</v>
      </c>
      <c r="M151" s="3" t="s">
        <v>77</v>
      </c>
      <c r="N151" s="3" t="s">
        <v>47</v>
      </c>
      <c r="O151" s="3" t="s">
        <v>337</v>
      </c>
      <c r="P151" s="3" t="s">
        <v>88</v>
      </c>
      <c r="Q151" s="3" t="s">
        <v>338</v>
      </c>
      <c r="R151" s="3" t="s">
        <v>58</v>
      </c>
      <c r="S151" s="3" t="s">
        <v>47</v>
      </c>
      <c r="T151" s="3" t="s">
        <v>81</v>
      </c>
      <c r="U151" s="3" t="s">
        <v>47</v>
      </c>
      <c r="V151" s="4" t="s">
        <v>339</v>
      </c>
      <c r="W151" s="302" t="str">
        <f>'GaBi data'!F15</f>
        <v>NA</v>
      </c>
      <c r="X151" s="2"/>
      <c r="Y151" s="2"/>
      <c r="Z151" s="2"/>
      <c r="AA151" s="2"/>
      <c r="AB151" s="2"/>
      <c r="AC151" s="2"/>
      <c r="AD151" s="2"/>
      <c r="AE151" s="2"/>
      <c r="AF151" s="2"/>
    </row>
    <row r="152" spans="1:32" s="34" customFormat="1" ht="157.5" x14ac:dyDescent="0.25">
      <c r="A152" s="2"/>
      <c r="B152" s="2" t="s">
        <v>334</v>
      </c>
      <c r="C152" s="3" t="s">
        <v>335</v>
      </c>
      <c r="D152" s="3">
        <v>2022</v>
      </c>
      <c r="E152" s="81" t="s">
        <v>336</v>
      </c>
      <c r="F152" s="3" t="s">
        <v>62</v>
      </c>
      <c r="G152" s="3" t="s">
        <v>46</v>
      </c>
      <c r="H152" s="3" t="s">
        <v>47</v>
      </c>
      <c r="I152" s="3" t="s">
        <v>47</v>
      </c>
      <c r="J152" s="3">
        <f>'GaBi data'!B16</f>
        <v>22</v>
      </c>
      <c r="K152" s="7">
        <v>300</v>
      </c>
      <c r="L152" s="3" t="s">
        <v>47</v>
      </c>
      <c r="M152" s="3" t="s">
        <v>77</v>
      </c>
      <c r="N152" s="3" t="s">
        <v>47</v>
      </c>
      <c r="O152" s="3" t="s">
        <v>337</v>
      </c>
      <c r="P152" s="3" t="s">
        <v>88</v>
      </c>
      <c r="Q152" s="3" t="s">
        <v>338</v>
      </c>
      <c r="R152" s="3" t="s">
        <v>58</v>
      </c>
      <c r="S152" s="3" t="s">
        <v>47</v>
      </c>
      <c r="T152" s="3" t="s">
        <v>81</v>
      </c>
      <c r="U152" s="3" t="s">
        <v>47</v>
      </c>
      <c r="V152" s="4" t="s">
        <v>339</v>
      </c>
      <c r="W152" s="302" t="str">
        <f>'GaBi data'!F16</f>
        <v>NA</v>
      </c>
      <c r="X152" s="2"/>
      <c r="Y152" s="2"/>
      <c r="Z152" s="2"/>
      <c r="AA152" s="2"/>
      <c r="AB152" s="2"/>
      <c r="AC152" s="2"/>
      <c r="AD152" s="2"/>
      <c r="AE152" s="2"/>
      <c r="AF152" s="2"/>
    </row>
    <row r="153" spans="1:32" s="34" customFormat="1" ht="157.5" x14ac:dyDescent="0.25">
      <c r="A153" s="2"/>
      <c r="B153" s="2" t="s">
        <v>334</v>
      </c>
      <c r="C153" s="3" t="s">
        <v>335</v>
      </c>
      <c r="D153" s="3">
        <v>2022</v>
      </c>
      <c r="E153" s="81" t="s">
        <v>336</v>
      </c>
      <c r="F153" s="3" t="s">
        <v>62</v>
      </c>
      <c r="G153" s="3" t="s">
        <v>46</v>
      </c>
      <c r="H153" s="3" t="s">
        <v>47</v>
      </c>
      <c r="I153" s="3" t="s">
        <v>47</v>
      </c>
      <c r="J153" s="3">
        <f>'GaBi data'!B17</f>
        <v>14</v>
      </c>
      <c r="K153" s="7">
        <v>300</v>
      </c>
      <c r="L153" s="3" t="s">
        <v>47</v>
      </c>
      <c r="M153" s="3" t="s">
        <v>77</v>
      </c>
      <c r="N153" s="3" t="s">
        <v>47</v>
      </c>
      <c r="O153" s="3" t="s">
        <v>337</v>
      </c>
      <c r="P153" s="3" t="s">
        <v>88</v>
      </c>
      <c r="Q153" s="3" t="s">
        <v>338</v>
      </c>
      <c r="R153" s="3" t="s">
        <v>58</v>
      </c>
      <c r="S153" s="3" t="s">
        <v>47</v>
      </c>
      <c r="T153" s="3" t="s">
        <v>81</v>
      </c>
      <c r="U153" s="3" t="s">
        <v>47</v>
      </c>
      <c r="V153" s="4" t="s">
        <v>339</v>
      </c>
      <c r="W153" s="302" t="str">
        <f>'GaBi data'!F17</f>
        <v>NA</v>
      </c>
      <c r="X153" s="2"/>
      <c r="Y153" s="2"/>
      <c r="Z153" s="2"/>
      <c r="AA153" s="2"/>
      <c r="AB153" s="2"/>
      <c r="AC153" s="2"/>
      <c r="AD153" s="2"/>
      <c r="AE153" s="2"/>
      <c r="AF153" s="2"/>
    </row>
    <row r="154" spans="1:32" s="34" customFormat="1" ht="173.25" x14ac:dyDescent="0.25">
      <c r="A154" s="2"/>
      <c r="B154" s="2" t="s">
        <v>334</v>
      </c>
      <c r="C154" s="3" t="s">
        <v>335</v>
      </c>
      <c r="D154" s="3">
        <v>2022</v>
      </c>
      <c r="E154" s="81" t="s">
        <v>336</v>
      </c>
      <c r="F154" s="3" t="s">
        <v>62</v>
      </c>
      <c r="G154" s="3" t="s">
        <v>340</v>
      </c>
      <c r="H154" s="3" t="s">
        <v>47</v>
      </c>
      <c r="I154" s="3" t="s">
        <v>47</v>
      </c>
      <c r="J154" s="3">
        <f>'GaBi data'!B19</f>
        <v>57</v>
      </c>
      <c r="K154" s="7">
        <v>300</v>
      </c>
      <c r="L154" s="3" t="s">
        <v>47</v>
      </c>
      <c r="M154" s="3" t="s">
        <v>73</v>
      </c>
      <c r="N154" s="3" t="s">
        <v>47</v>
      </c>
      <c r="O154" s="3" t="s">
        <v>337</v>
      </c>
      <c r="P154" s="3" t="s">
        <v>88</v>
      </c>
      <c r="Q154" s="3" t="s">
        <v>341</v>
      </c>
      <c r="R154" s="3" t="s">
        <v>58</v>
      </c>
      <c r="S154" s="3" t="s">
        <v>47</v>
      </c>
      <c r="T154" s="3" t="s">
        <v>124</v>
      </c>
      <c r="U154" s="3" t="s">
        <v>47</v>
      </c>
      <c r="V154" s="4" t="s">
        <v>342</v>
      </c>
      <c r="W154" s="302" t="str">
        <f>'GaBi data'!F19</f>
        <v>NA</v>
      </c>
      <c r="X154" s="2"/>
      <c r="Y154" s="2"/>
      <c r="Z154" s="2"/>
      <c r="AA154" s="2"/>
      <c r="AB154" s="2"/>
      <c r="AC154" s="2"/>
      <c r="AD154" s="2"/>
      <c r="AE154" s="2"/>
      <c r="AF154" s="2"/>
    </row>
    <row r="155" spans="1:32" s="34" customFormat="1" ht="173.25" x14ac:dyDescent="0.25">
      <c r="A155" s="2"/>
      <c r="B155" s="2" t="s">
        <v>334</v>
      </c>
      <c r="C155" s="3" t="s">
        <v>335</v>
      </c>
      <c r="D155" s="3">
        <v>2022</v>
      </c>
      <c r="E155" s="81" t="s">
        <v>336</v>
      </c>
      <c r="F155" s="3" t="s">
        <v>62</v>
      </c>
      <c r="G155" s="3" t="s">
        <v>340</v>
      </c>
      <c r="H155" s="3" t="s">
        <v>47</v>
      </c>
      <c r="I155" s="3" t="s">
        <v>47</v>
      </c>
      <c r="J155" s="3">
        <f>'GaBi data'!B20</f>
        <v>45</v>
      </c>
      <c r="K155" s="7">
        <v>300</v>
      </c>
      <c r="L155" s="3" t="s">
        <v>47</v>
      </c>
      <c r="M155" s="3" t="s">
        <v>73</v>
      </c>
      <c r="N155" s="3" t="s">
        <v>47</v>
      </c>
      <c r="O155" s="3" t="s">
        <v>337</v>
      </c>
      <c r="P155" s="3" t="s">
        <v>88</v>
      </c>
      <c r="Q155" s="3" t="s">
        <v>341</v>
      </c>
      <c r="R155" s="3" t="s">
        <v>58</v>
      </c>
      <c r="S155" s="3" t="s">
        <v>47</v>
      </c>
      <c r="T155" s="3" t="s">
        <v>124</v>
      </c>
      <c r="U155" s="3" t="s">
        <v>47</v>
      </c>
      <c r="V155" s="4" t="s">
        <v>343</v>
      </c>
      <c r="W155" s="302" t="str">
        <f>'GaBi data'!F20</f>
        <v>NA</v>
      </c>
      <c r="X155" s="2"/>
      <c r="Y155" s="2"/>
      <c r="Z155" s="2"/>
      <c r="AA155" s="2"/>
      <c r="AB155" s="2"/>
      <c r="AC155" s="2"/>
      <c r="AD155" s="2"/>
      <c r="AE155" s="2"/>
      <c r="AF155" s="2"/>
    </row>
    <row r="156" spans="1:32" s="344" customFormat="1" x14ac:dyDescent="0.25">
      <c r="A156" s="327"/>
      <c r="B156" s="327"/>
      <c r="C156" s="328"/>
      <c r="D156" s="328"/>
      <c r="E156" s="354"/>
      <c r="F156" s="328"/>
      <c r="G156" s="328"/>
      <c r="H156" s="328"/>
      <c r="I156" s="328"/>
      <c r="J156" s="328"/>
      <c r="K156" s="328"/>
      <c r="L156" s="328"/>
      <c r="M156" s="328"/>
      <c r="N156" s="328"/>
      <c r="O156" s="328"/>
      <c r="P156" s="328"/>
      <c r="Q156" s="328"/>
      <c r="R156" s="328"/>
      <c r="S156" s="328"/>
      <c r="T156" s="328"/>
      <c r="U156" s="328"/>
      <c r="V156" s="330"/>
      <c r="W156" s="338"/>
      <c r="X156" s="327"/>
      <c r="Y156" s="327"/>
      <c r="Z156" s="327"/>
      <c r="AA156" s="327"/>
      <c r="AB156" s="327"/>
      <c r="AC156" s="327"/>
      <c r="AD156" s="327"/>
      <c r="AE156" s="327"/>
      <c r="AF156" s="327"/>
    </row>
    <row r="157" spans="1:32" s="34" customFormat="1" ht="31.5" x14ac:dyDescent="0.25">
      <c r="A157" s="2"/>
      <c r="B157" s="2" t="s">
        <v>344</v>
      </c>
      <c r="C157" s="3" t="s">
        <v>345</v>
      </c>
      <c r="D157" s="3">
        <v>2019</v>
      </c>
      <c r="E157" s="81" t="s">
        <v>346</v>
      </c>
      <c r="F157" s="3" t="s">
        <v>62</v>
      </c>
      <c r="G157" s="3" t="s">
        <v>58</v>
      </c>
      <c r="H157" s="3" t="s">
        <v>47</v>
      </c>
      <c r="I157" s="3" t="s">
        <v>53</v>
      </c>
      <c r="J157" s="3">
        <v>130</v>
      </c>
      <c r="K157" s="3">
        <v>300</v>
      </c>
      <c r="L157" s="3" t="s">
        <v>113</v>
      </c>
      <c r="M157" s="3" t="s">
        <v>53</v>
      </c>
      <c r="N157" s="3" t="s">
        <v>47</v>
      </c>
      <c r="O157" s="3" t="s">
        <v>65</v>
      </c>
      <c r="P157" s="3" t="s">
        <v>88</v>
      </c>
      <c r="Q157" s="3" t="s">
        <v>50</v>
      </c>
      <c r="R157" s="3" t="s">
        <v>58</v>
      </c>
      <c r="S157" s="3" t="s">
        <v>77</v>
      </c>
      <c r="T157" s="3" t="s">
        <v>53</v>
      </c>
      <c r="U157" s="3" t="s">
        <v>47</v>
      </c>
      <c r="V157" s="4" t="s">
        <v>347</v>
      </c>
      <c r="W157" s="302">
        <f>'EIME data'!G6</f>
        <v>23.099999999999998</v>
      </c>
      <c r="X157" s="2"/>
      <c r="Y157" s="2"/>
      <c r="Z157" s="2"/>
      <c r="AA157" s="2"/>
      <c r="AB157" s="2"/>
      <c r="AC157" s="2"/>
      <c r="AD157" s="2"/>
      <c r="AE157" s="2"/>
      <c r="AF157" s="2"/>
    </row>
    <row r="158" spans="1:32" s="34" customFormat="1" ht="31.5" x14ac:dyDescent="0.25">
      <c r="A158" s="2"/>
      <c r="B158" s="2" t="s">
        <v>344</v>
      </c>
      <c r="C158" s="3" t="s">
        <v>345</v>
      </c>
      <c r="D158" s="3">
        <v>2019</v>
      </c>
      <c r="E158" s="81" t="s">
        <v>346</v>
      </c>
      <c r="F158" s="3" t="s">
        <v>62</v>
      </c>
      <c r="G158" s="3" t="s">
        <v>58</v>
      </c>
      <c r="H158" s="3" t="s">
        <v>47</v>
      </c>
      <c r="I158" s="3" t="s">
        <v>53</v>
      </c>
      <c r="J158" s="3">
        <v>90</v>
      </c>
      <c r="K158" s="3">
        <v>300</v>
      </c>
      <c r="L158" s="3" t="s">
        <v>113</v>
      </c>
      <c r="M158" s="3" t="s">
        <v>53</v>
      </c>
      <c r="N158" s="3" t="s">
        <v>47</v>
      </c>
      <c r="O158" s="3" t="s">
        <v>65</v>
      </c>
      <c r="P158" s="3" t="s">
        <v>88</v>
      </c>
      <c r="Q158" s="3" t="s">
        <v>50</v>
      </c>
      <c r="R158" s="3" t="s">
        <v>58</v>
      </c>
      <c r="S158" s="3" t="s">
        <v>77</v>
      </c>
      <c r="T158" s="3" t="s">
        <v>53</v>
      </c>
      <c r="U158" s="3" t="s">
        <v>47</v>
      </c>
      <c r="V158" s="4" t="s">
        <v>347</v>
      </c>
      <c r="W158" s="302">
        <v>24.1</v>
      </c>
      <c r="X158" s="2"/>
      <c r="Y158" s="2"/>
      <c r="Z158" s="2"/>
      <c r="AA158" s="2"/>
      <c r="AB158" s="2"/>
      <c r="AC158" s="2"/>
      <c r="AD158" s="2"/>
      <c r="AE158" s="2"/>
      <c r="AF158" s="2"/>
    </row>
    <row r="159" spans="1:32" s="34" customFormat="1" ht="31.5" x14ac:dyDescent="0.25">
      <c r="A159" s="2"/>
      <c r="B159" s="2" t="s">
        <v>344</v>
      </c>
      <c r="C159" s="3" t="s">
        <v>345</v>
      </c>
      <c r="D159" s="3">
        <v>2019</v>
      </c>
      <c r="E159" s="81" t="s">
        <v>346</v>
      </c>
      <c r="F159" s="3" t="s">
        <v>62</v>
      </c>
      <c r="G159" s="3" t="s">
        <v>58</v>
      </c>
      <c r="H159" s="3" t="s">
        <v>47</v>
      </c>
      <c r="I159" s="3" t="s">
        <v>53</v>
      </c>
      <c r="J159" s="3">
        <v>28</v>
      </c>
      <c r="K159" s="3">
        <v>300</v>
      </c>
      <c r="L159" s="3" t="s">
        <v>113</v>
      </c>
      <c r="M159" s="3" t="s">
        <v>53</v>
      </c>
      <c r="N159" s="3" t="s">
        <v>47</v>
      </c>
      <c r="O159" s="3" t="s">
        <v>65</v>
      </c>
      <c r="P159" s="3" t="s">
        <v>88</v>
      </c>
      <c r="Q159" s="3" t="s">
        <v>50</v>
      </c>
      <c r="R159" s="3" t="s">
        <v>58</v>
      </c>
      <c r="S159" s="3" t="s">
        <v>77</v>
      </c>
      <c r="T159" s="3" t="s">
        <v>53</v>
      </c>
      <c r="U159" s="3" t="s">
        <v>47</v>
      </c>
      <c r="V159" s="4" t="s">
        <v>347</v>
      </c>
      <c r="W159" s="302">
        <f>'EIME data'!G9</f>
        <v>28.400000000000002</v>
      </c>
      <c r="X159" s="2"/>
      <c r="Y159" s="2"/>
      <c r="Z159" s="2"/>
      <c r="AA159" s="2"/>
      <c r="AB159" s="2"/>
      <c r="AC159" s="2"/>
      <c r="AD159" s="2"/>
      <c r="AE159" s="2"/>
      <c r="AF159" s="2"/>
    </row>
    <row r="160" spans="1:32" s="34" customFormat="1" ht="31.5" x14ac:dyDescent="0.25">
      <c r="A160" s="2"/>
      <c r="B160" s="2" t="s">
        <v>344</v>
      </c>
      <c r="C160" s="3" t="s">
        <v>345</v>
      </c>
      <c r="D160" s="3">
        <v>2019</v>
      </c>
      <c r="E160" s="81" t="s">
        <v>346</v>
      </c>
      <c r="F160" s="3" t="s">
        <v>62</v>
      </c>
      <c r="G160" s="3" t="s">
        <v>58</v>
      </c>
      <c r="H160" s="3" t="s">
        <v>47</v>
      </c>
      <c r="I160" s="3" t="s">
        <v>53</v>
      </c>
      <c r="J160" s="3">
        <v>16</v>
      </c>
      <c r="K160" s="3">
        <v>300</v>
      </c>
      <c r="L160" s="3" t="s">
        <v>113</v>
      </c>
      <c r="M160" s="3" t="s">
        <v>53</v>
      </c>
      <c r="N160" s="3" t="s">
        <v>47</v>
      </c>
      <c r="O160" s="3" t="s">
        <v>65</v>
      </c>
      <c r="P160" s="3" t="s">
        <v>88</v>
      </c>
      <c r="Q160" s="3" t="s">
        <v>50</v>
      </c>
      <c r="R160" s="3" t="s">
        <v>58</v>
      </c>
      <c r="S160" s="3" t="s">
        <v>77</v>
      </c>
      <c r="T160" s="3" t="s">
        <v>53</v>
      </c>
      <c r="U160" s="3" t="s">
        <v>47</v>
      </c>
      <c r="V160" s="4" t="s">
        <v>347</v>
      </c>
      <c r="W160" s="302">
        <f>'EIME data'!G10</f>
        <v>29.6</v>
      </c>
      <c r="X160" s="2"/>
      <c r="Y160" s="2"/>
      <c r="Z160" s="2"/>
      <c r="AA160" s="2"/>
      <c r="AB160" s="2"/>
      <c r="AC160" s="2"/>
      <c r="AD160" s="2"/>
      <c r="AE160" s="2"/>
      <c r="AF160" s="2"/>
    </row>
    <row r="161" spans="1:32" s="34" customFormat="1" ht="31.5" x14ac:dyDescent="0.25">
      <c r="A161" s="2"/>
      <c r="B161" s="2" t="s">
        <v>344</v>
      </c>
      <c r="C161" s="3" t="s">
        <v>345</v>
      </c>
      <c r="D161" s="3">
        <v>2019</v>
      </c>
      <c r="E161" s="81" t="s">
        <v>346</v>
      </c>
      <c r="F161" s="3" t="s">
        <v>62</v>
      </c>
      <c r="G161" s="3" t="s">
        <v>58</v>
      </c>
      <c r="H161" s="3" t="s">
        <v>47</v>
      </c>
      <c r="I161" s="3" t="s">
        <v>53</v>
      </c>
      <c r="J161" s="3">
        <v>14</v>
      </c>
      <c r="K161" s="3">
        <v>300</v>
      </c>
      <c r="L161" s="3" t="s">
        <v>113</v>
      </c>
      <c r="M161" s="3" t="s">
        <v>53</v>
      </c>
      <c r="N161" s="3" t="s">
        <v>47</v>
      </c>
      <c r="O161" s="3" t="s">
        <v>65</v>
      </c>
      <c r="P161" s="3" t="s">
        <v>88</v>
      </c>
      <c r="Q161" s="3" t="s">
        <v>50</v>
      </c>
      <c r="R161" s="3" t="s">
        <v>58</v>
      </c>
      <c r="S161" s="3" t="s">
        <v>77</v>
      </c>
      <c r="T161" s="3" t="s">
        <v>53</v>
      </c>
      <c r="U161" s="3" t="s">
        <v>47</v>
      </c>
      <c r="V161" s="4" t="s">
        <v>347</v>
      </c>
      <c r="W161" s="302">
        <f>'EIME data'!G11</f>
        <v>30.4</v>
      </c>
      <c r="X161" s="2"/>
      <c r="Y161" s="2"/>
      <c r="Z161" s="2"/>
      <c r="AA161" s="2"/>
      <c r="AB161" s="2"/>
      <c r="AC161" s="2"/>
      <c r="AD161" s="2"/>
      <c r="AE161" s="2"/>
      <c r="AF161" s="2"/>
    </row>
    <row r="162" spans="1:32" s="34" customFormat="1" ht="31.5" x14ac:dyDescent="0.25">
      <c r="A162" s="2"/>
      <c r="B162" s="2" t="s">
        <v>344</v>
      </c>
      <c r="C162" s="3" t="s">
        <v>345</v>
      </c>
      <c r="D162" s="3">
        <v>2019</v>
      </c>
      <c r="E162" s="81" t="s">
        <v>346</v>
      </c>
      <c r="F162" s="3" t="s">
        <v>62</v>
      </c>
      <c r="G162" s="3" t="s">
        <v>58</v>
      </c>
      <c r="H162" s="3" t="s">
        <v>47</v>
      </c>
      <c r="I162" s="3" t="s">
        <v>53</v>
      </c>
      <c r="J162" s="3">
        <v>12</v>
      </c>
      <c r="K162" s="3">
        <v>300</v>
      </c>
      <c r="L162" s="3" t="s">
        <v>113</v>
      </c>
      <c r="M162" s="3" t="s">
        <v>53</v>
      </c>
      <c r="N162" s="3" t="s">
        <v>47</v>
      </c>
      <c r="O162" s="3" t="s">
        <v>65</v>
      </c>
      <c r="P162" s="3" t="s">
        <v>88</v>
      </c>
      <c r="Q162" s="3" t="s">
        <v>50</v>
      </c>
      <c r="R162" s="3" t="s">
        <v>58</v>
      </c>
      <c r="S162" s="3" t="s">
        <v>77</v>
      </c>
      <c r="T162" s="3" t="s">
        <v>53</v>
      </c>
      <c r="U162" s="3" t="s">
        <v>47</v>
      </c>
      <c r="V162" s="4" t="s">
        <v>347</v>
      </c>
      <c r="W162" s="302">
        <f>'EIME data'!G12</f>
        <v>31.9</v>
      </c>
      <c r="X162" s="2"/>
      <c r="Y162" s="2"/>
      <c r="Z162" s="2"/>
      <c r="AA162" s="2"/>
      <c r="AB162" s="2"/>
      <c r="AC162" s="2"/>
      <c r="AD162" s="2"/>
      <c r="AE162" s="2"/>
      <c r="AF162" s="2"/>
    </row>
    <row r="163" spans="1:32" s="34" customFormat="1" ht="31.5" x14ac:dyDescent="0.25">
      <c r="A163" s="2"/>
      <c r="B163" s="2" t="s">
        <v>344</v>
      </c>
      <c r="C163" s="3" t="s">
        <v>345</v>
      </c>
      <c r="D163" s="3">
        <v>2019</v>
      </c>
      <c r="E163" s="81" t="s">
        <v>346</v>
      </c>
      <c r="F163" s="3" t="s">
        <v>62</v>
      </c>
      <c r="G163" s="3" t="s">
        <v>58</v>
      </c>
      <c r="H163" s="3" t="s">
        <v>47</v>
      </c>
      <c r="I163" s="3" t="s">
        <v>53</v>
      </c>
      <c r="J163" s="3">
        <v>8</v>
      </c>
      <c r="K163" s="3">
        <v>300</v>
      </c>
      <c r="L163" s="3" t="s">
        <v>113</v>
      </c>
      <c r="M163" s="3" t="s">
        <v>53</v>
      </c>
      <c r="N163" s="3" t="s">
        <v>47</v>
      </c>
      <c r="O163" s="3" t="s">
        <v>65</v>
      </c>
      <c r="P163" s="3" t="s">
        <v>88</v>
      </c>
      <c r="Q163" s="3" t="s">
        <v>50</v>
      </c>
      <c r="R163" s="3" t="s">
        <v>58</v>
      </c>
      <c r="S163" s="3" t="s">
        <v>77</v>
      </c>
      <c r="T163" s="3" t="s">
        <v>53</v>
      </c>
      <c r="U163" s="3" t="s">
        <v>47</v>
      </c>
      <c r="V163" s="4" t="s">
        <v>347</v>
      </c>
      <c r="W163" s="302">
        <f>'EIME data'!G13</f>
        <v>33.4</v>
      </c>
      <c r="X163" s="2"/>
      <c r="Y163" s="2"/>
      <c r="Z163" s="2"/>
      <c r="AA163" s="2"/>
      <c r="AB163" s="2"/>
      <c r="AC163" s="2"/>
      <c r="AD163" s="2"/>
      <c r="AE163" s="2"/>
      <c r="AF163" s="2"/>
    </row>
    <row r="164" spans="1:32" s="34" customFormat="1" ht="31.5" x14ac:dyDescent="0.25">
      <c r="A164" s="2"/>
      <c r="B164" s="2" t="s">
        <v>344</v>
      </c>
      <c r="C164" s="3" t="s">
        <v>345</v>
      </c>
      <c r="D164" s="3">
        <v>2019</v>
      </c>
      <c r="E164" s="81" t="s">
        <v>346</v>
      </c>
      <c r="F164" s="3" t="s">
        <v>62</v>
      </c>
      <c r="G164" s="3" t="s">
        <v>58</v>
      </c>
      <c r="H164" s="3" t="s">
        <v>47</v>
      </c>
      <c r="I164" s="3" t="s">
        <v>53</v>
      </c>
      <c r="J164" s="3">
        <v>7</v>
      </c>
      <c r="K164" s="3">
        <v>300</v>
      </c>
      <c r="L164" s="3" t="s">
        <v>113</v>
      </c>
      <c r="M164" s="3" t="s">
        <v>53</v>
      </c>
      <c r="N164" s="3" t="s">
        <v>47</v>
      </c>
      <c r="O164" s="3" t="s">
        <v>65</v>
      </c>
      <c r="P164" s="3" t="s">
        <v>88</v>
      </c>
      <c r="Q164" s="3" t="s">
        <v>50</v>
      </c>
      <c r="R164" s="3" t="s">
        <v>58</v>
      </c>
      <c r="S164" s="3" t="s">
        <v>77</v>
      </c>
      <c r="T164" s="3" t="s">
        <v>53</v>
      </c>
      <c r="U164" s="3" t="s">
        <v>47</v>
      </c>
      <c r="V164" s="4" t="s">
        <v>347</v>
      </c>
      <c r="W164" s="302">
        <f>'EIME data'!G14</f>
        <v>34.6</v>
      </c>
      <c r="X164" s="2"/>
      <c r="Y164" s="2"/>
      <c r="Z164" s="2"/>
      <c r="AA164" s="2"/>
      <c r="AB164" s="2"/>
      <c r="AC164" s="2"/>
      <c r="AD164" s="2"/>
      <c r="AE164" s="2"/>
      <c r="AF164" s="2"/>
    </row>
    <row r="165" spans="1:32" s="344" customFormat="1" x14ac:dyDescent="0.25">
      <c r="A165" s="327"/>
      <c r="B165" s="327"/>
      <c r="C165" s="328"/>
      <c r="D165" s="328"/>
      <c r="E165" s="354"/>
      <c r="F165" s="328"/>
      <c r="G165" s="328"/>
      <c r="H165" s="328"/>
      <c r="I165" s="328"/>
      <c r="J165" s="328"/>
      <c r="K165" s="328"/>
      <c r="L165" s="328"/>
      <c r="M165" s="328"/>
      <c r="N165" s="328"/>
      <c r="O165" s="328"/>
      <c r="P165" s="328"/>
      <c r="Q165" s="328"/>
      <c r="R165" s="328"/>
      <c r="S165" s="328"/>
      <c r="T165" s="328"/>
      <c r="U165" s="328"/>
      <c r="V165" s="330"/>
      <c r="W165" s="338"/>
      <c r="X165" s="327"/>
      <c r="Y165" s="327"/>
      <c r="Z165" s="327"/>
      <c r="AA165" s="327"/>
      <c r="AB165" s="327"/>
      <c r="AC165" s="327"/>
      <c r="AD165" s="327"/>
      <c r="AE165" s="327"/>
      <c r="AF165" s="327"/>
    </row>
    <row r="166" spans="1:32" s="34" customFormat="1" ht="157.5" x14ac:dyDescent="0.25">
      <c r="A166" s="2"/>
      <c r="B166" s="2" t="s">
        <v>348</v>
      </c>
      <c r="C166" s="3" t="s">
        <v>348</v>
      </c>
      <c r="D166" s="7">
        <v>2016</v>
      </c>
      <c r="E166" s="81" t="s">
        <v>349</v>
      </c>
      <c r="F166" s="3" t="s">
        <v>62</v>
      </c>
      <c r="G166" s="3" t="s">
        <v>46</v>
      </c>
      <c r="H166" s="3" t="s">
        <v>47</v>
      </c>
      <c r="I166" s="3" t="s">
        <v>47</v>
      </c>
      <c r="J166" s="7" t="s">
        <v>74</v>
      </c>
      <c r="K166" s="7" t="s">
        <v>350</v>
      </c>
      <c r="L166" s="7" t="s">
        <v>89</v>
      </c>
      <c r="M166" s="7" t="s">
        <v>77</v>
      </c>
      <c r="N166" s="7" t="s">
        <v>81</v>
      </c>
      <c r="O166" s="3" t="s">
        <v>351</v>
      </c>
      <c r="P166" s="3" t="s">
        <v>88</v>
      </c>
      <c r="Q166" s="3" t="s">
        <v>453</v>
      </c>
      <c r="R166" s="7" t="s">
        <v>53</v>
      </c>
      <c r="S166" s="3" t="s">
        <v>72</v>
      </c>
      <c r="T166" s="3" t="s">
        <v>47</v>
      </c>
      <c r="U166" s="3" t="s">
        <v>53</v>
      </c>
      <c r="V166" s="4" t="s">
        <v>352</v>
      </c>
      <c r="W166" s="302">
        <f>'EcoInvent data'!H23</f>
        <v>62.222222222222221</v>
      </c>
      <c r="X166" s="2"/>
      <c r="Y166" s="2"/>
      <c r="Z166" s="2"/>
      <c r="AA166" s="2"/>
      <c r="AB166" s="2"/>
      <c r="AC166" s="2"/>
      <c r="AD166" s="2"/>
      <c r="AE166" s="2"/>
      <c r="AF166" s="2"/>
    </row>
    <row r="167" spans="1:32" s="343" customFormat="1" x14ac:dyDescent="0.25">
      <c r="A167" s="349"/>
      <c r="V167" s="350"/>
      <c r="W167" s="311"/>
      <c r="AE167" s="350"/>
    </row>
  </sheetData>
  <mergeCells count="2">
    <mergeCell ref="B2:W2"/>
    <mergeCell ref="G4:U4"/>
  </mergeCells>
  <hyperlinks>
    <hyperlink ref="E127" r:id="rId1" xr:uid="{6C3B7660-84A3-4639-8A76-E11F62908B9C}"/>
    <hyperlink ref="E140" r:id="rId2" xr:uid="{28C61EEA-D34C-4BAC-8B26-8F7A6AE73944}"/>
    <hyperlink ref="E128" r:id="rId3" xr:uid="{70A11469-5AD5-422C-8629-24208EB9F437}"/>
    <hyperlink ref="E129" r:id="rId4" xr:uid="{9748D060-166F-4CCF-BCFA-C9E012D91980}"/>
    <hyperlink ref="E130" r:id="rId5" xr:uid="{AC970B35-B4F7-4673-8A2C-76030A6D5428}"/>
    <hyperlink ref="E131" r:id="rId6" xr:uid="{4A0AC265-64F0-43C0-A471-D2FC91682F21}"/>
    <hyperlink ref="E132" r:id="rId7" xr:uid="{FE7E2237-E32C-4F7F-9080-26A0DE755404}"/>
    <hyperlink ref="E139" r:id="rId8" xr:uid="{D6AB88CB-F1E9-4F47-ABF7-7380FCF05A3D}"/>
    <hyperlink ref="E135" r:id="rId9" xr:uid="{D9D6532A-77B1-49F0-BE06-E0C8C14D0F29}"/>
    <hyperlink ref="E136" r:id="rId10" xr:uid="{0D1254C8-0690-4665-BE0A-ECAA4C850B33}"/>
    <hyperlink ref="E138" r:id="rId11" xr:uid="{E4DD16F0-9D97-4E1D-9E80-2F729442746D}"/>
    <hyperlink ref="E137" r:id="rId12" xr:uid="{3F31C80F-5E6E-4759-B893-F48AAF199316}"/>
    <hyperlink ref="E80" r:id="rId13" xr:uid="{B93BE2BD-42C8-4960-8D71-3E03C9396016}"/>
    <hyperlink ref="E81" r:id="rId14" xr:uid="{053B0BBB-83A7-4DD9-BE94-00D604E9279D}"/>
    <hyperlink ref="E82" r:id="rId15" xr:uid="{E5D2239E-EACE-4E38-B8E8-7C3443ECCCF4}"/>
    <hyperlink ref="E83" r:id="rId16" xr:uid="{2BBEFADA-484A-4338-AB9F-55161F143F0A}"/>
    <hyperlink ref="E84" r:id="rId17" xr:uid="{A93B15C3-F6F5-4BAD-85ED-6EB2DB14987B}"/>
    <hyperlink ref="E85" r:id="rId18" xr:uid="{8F0875E7-D235-461D-8EA3-A8490997EE39}"/>
    <hyperlink ref="E88" r:id="rId19" xr:uid="{FA33B1E1-6DB2-4BEE-82C1-B24B1D50D74A}"/>
    <hyperlink ref="E89" r:id="rId20" xr:uid="{452E769E-83B1-4BEF-9B5F-929FB8AA9CE1}"/>
    <hyperlink ref="E90" r:id="rId21" xr:uid="{CE77E509-AF72-4D25-AF39-77C561917903}"/>
    <hyperlink ref="E93" r:id="rId22" xr:uid="{CCEEAB02-10BF-4B9D-A002-F11AC8CAB566}"/>
    <hyperlink ref="E91" r:id="rId23" xr:uid="{1CF013F0-64E0-467A-82B3-493CED421661}"/>
    <hyperlink ref="E92" r:id="rId24" xr:uid="{963BF97E-D9EB-44D3-BF14-8A890AC48D04}"/>
    <hyperlink ref="E94" r:id="rId25" xr:uid="{5190ADF2-F6C9-4744-B3E1-5C60CFAA8113}"/>
    <hyperlink ref="E95" r:id="rId26" xr:uid="{90EAC740-05E2-4DF8-B044-4FD205EA04A9}"/>
    <hyperlink ref="E96" r:id="rId27" xr:uid="{F05D380E-A76E-487D-912C-7FE1D7D17AE0}"/>
    <hyperlink ref="E97" r:id="rId28" xr:uid="{4530DDDE-2F30-4E06-A36B-06A9A8D8BFC3}"/>
    <hyperlink ref="E100" r:id="rId29" xr:uid="{EF37894E-BA5C-4964-96EF-581A6CA24E3C}"/>
    <hyperlink ref="E101" r:id="rId30" xr:uid="{73D75204-0B99-4C4F-BCD5-58769ED89934}"/>
    <hyperlink ref="E102" r:id="rId31" xr:uid="{C55A5099-DE92-43B6-8006-73A2607A79DC}"/>
    <hyperlink ref="E103" r:id="rId32" xr:uid="{412D4CA3-3B9A-493E-9D87-7B94516E0000}"/>
    <hyperlink ref="E104" r:id="rId33" xr:uid="{B19FE51E-E422-4261-860E-B415AA36554F}"/>
    <hyperlink ref="E105" r:id="rId34" xr:uid="{532EFDF0-C773-4C78-8066-A7636C91983E}"/>
    <hyperlink ref="E106" r:id="rId35" xr:uid="{D0985397-D8A4-4BA3-BAA5-CE6DB883D7B0}"/>
    <hyperlink ref="E107" r:id="rId36" xr:uid="{59958DF0-3FF1-48A5-A6C1-6C147A89D4B6}"/>
    <hyperlink ref="E108" r:id="rId37" xr:uid="{B6088702-EE5F-4C86-9B9A-7999679DB582}"/>
    <hyperlink ref="E79" r:id="rId38" xr:uid="{D3D2596E-C83F-451B-ACC4-7142D9699D62}"/>
    <hyperlink ref="E99" r:id="rId39" xr:uid="{EDFF50BC-E0EC-42E9-AA0F-3F68A0F8A324}"/>
    <hyperlink ref="E87" r:id="rId40" xr:uid="{687036EE-5FCB-486E-B2A3-1C59A14F5196}"/>
    <hyperlink ref="E69" r:id="rId41" xr:uid="{EE83709B-22B2-4DE7-A84E-D0A2AEB93E4E}"/>
    <hyperlink ref="E24" r:id="rId42" xr:uid="{CEFD01FA-90F9-4BB0-A72E-46E4D644655B}"/>
    <hyperlink ref="E70" r:id="rId43" xr:uid="{9D9286F5-7EE8-47AF-BD42-F30A346B9E1A}"/>
    <hyperlink ref="E26" r:id="rId44" xr:uid="{DD8D21A9-2A63-4EAB-8D35-B63F6B31EC55}"/>
    <hyperlink ref="E27" r:id="rId45" xr:uid="{81890BCA-1A75-44BC-BDEA-D71E8EDBE736}"/>
    <hyperlink ref="E28" r:id="rId46" xr:uid="{187F9111-C935-43EF-80D9-167FA1FE6F95}"/>
    <hyperlink ref="E29" r:id="rId47" xr:uid="{1100FDAB-A2A7-49CA-8BCE-DEAD4140DE17}"/>
    <hyperlink ref="E30" r:id="rId48" xr:uid="{F507A8D0-6AC5-42A8-894A-DB29FDDE77DE}"/>
    <hyperlink ref="E36" r:id="rId49" xr:uid="{19A57204-4575-47AA-9498-EA303E25B392}"/>
    <hyperlink ref="E37" r:id="rId50" xr:uid="{0CEA1C6B-C95C-4DEB-A27E-8B2AC42BD18F}"/>
    <hyperlink ref="E38" r:id="rId51" xr:uid="{C94F6696-AC87-494F-9DEC-BB4D9A29D83D}"/>
    <hyperlink ref="E39" r:id="rId52" xr:uid="{BB8BAA47-A9C4-4749-9612-286C58C178E4}"/>
    <hyperlink ref="E40" r:id="rId53" xr:uid="{EDE05397-54C2-4596-9B20-D181A02F8493}"/>
    <hyperlink ref="E31" r:id="rId54" xr:uid="{C6766644-4B70-41AF-9BCE-6321C0AF185F}"/>
    <hyperlink ref="E32" r:id="rId55" xr:uid="{D49279AC-3D83-46F3-86C0-EFAF0824C822}"/>
    <hyperlink ref="E33" r:id="rId56" xr:uid="{AAD6A541-8C76-4BB3-A389-186A35DEBAF3}"/>
    <hyperlink ref="E34" r:id="rId57" xr:uid="{E85F120D-76EF-4356-BCF3-6C2DCDC94B2F}"/>
    <hyperlink ref="E35" r:id="rId58" xr:uid="{D5D04A9B-78F2-427F-AF9E-C755861C08B7}"/>
    <hyperlink ref="E41" r:id="rId59" xr:uid="{9C018AD4-2169-4976-95F3-2D04837E9A71}"/>
    <hyperlink ref="E42" r:id="rId60" xr:uid="{2DF68F6B-8D31-4C86-B84B-C59355669DBF}"/>
    <hyperlink ref="E43" r:id="rId61" xr:uid="{04EC90F6-21F0-485C-BE37-18CCA392FF75}"/>
    <hyperlink ref="E44" r:id="rId62" xr:uid="{637F85C6-C339-44A9-9AE6-16941465DB65}"/>
    <hyperlink ref="E45" r:id="rId63" xr:uid="{1F19A68D-AEB4-4B45-B3F5-53E6A8EC9CB4}"/>
    <hyperlink ref="E46" r:id="rId64" xr:uid="{992D6EC0-161F-4BCE-B459-4492A1454119}"/>
    <hyperlink ref="E55" r:id="rId65" xr:uid="{C8EF425C-C2B6-45C5-8D22-C7AF76C3BB9A}"/>
    <hyperlink ref="E56" r:id="rId66" xr:uid="{BC43C562-E300-4C3E-9E48-B34AB74AE9F0}"/>
    <hyperlink ref="E57" r:id="rId67" xr:uid="{6C99456D-B6F1-4730-B6F0-BD4694A79F7C}"/>
    <hyperlink ref="E58" r:id="rId68" xr:uid="{D3395F15-4CCB-4726-AF1E-593D6E9E4AF5}"/>
    <hyperlink ref="E59" r:id="rId69" xr:uid="{3FB8496B-E732-482C-BC9B-EBE841C6011D}"/>
    <hyperlink ref="E47" r:id="rId70" xr:uid="{7CE7CAF6-6916-4B20-B47C-2575AA834523}"/>
    <hyperlink ref="E48" r:id="rId71" xr:uid="{BAB274CD-874F-47A3-9900-01607BD90100}"/>
    <hyperlink ref="E52" r:id="rId72" xr:uid="{81BD6C82-E268-4790-8196-9C4C23B2DE25}"/>
    <hyperlink ref="E53" r:id="rId73" xr:uid="{BA4FE9CD-4930-4AF7-9BF5-E0D63187971B}"/>
    <hyperlink ref="E54" r:id="rId74" xr:uid="{C5494612-29A9-4C82-A7D5-45EE9B4C985D}"/>
    <hyperlink ref="E60" r:id="rId75" xr:uid="{3F02914B-D498-4E10-B551-DAE59E80D876}"/>
    <hyperlink ref="E61" r:id="rId76" xr:uid="{CF80A75A-5E9B-48AA-8895-ABD88311E2D5}"/>
    <hyperlink ref="E49" r:id="rId77" xr:uid="{81E459A7-E00B-4381-949D-B59B2360B2B5}"/>
    <hyperlink ref="E50" r:id="rId78" xr:uid="{E7547351-0426-496E-BE57-D95748C1D842}"/>
    <hyperlink ref="E51" r:id="rId79" xr:uid="{B15F2BA9-CC26-48FF-BF02-0329FCA9797B}"/>
    <hyperlink ref="E66" r:id="rId80" xr:uid="{4FE1923E-A187-43CF-828B-2CABC7D72458}"/>
    <hyperlink ref="E67" r:id="rId81" xr:uid="{2CF7D4EC-2EAA-4198-B343-915DF2B90241}"/>
    <hyperlink ref="E63" r:id="rId82" xr:uid="{50C310DD-B322-430D-BBBD-8D885DB8EF7B}"/>
    <hyperlink ref="E64" r:id="rId83" xr:uid="{0062786F-4167-473E-A32C-D5C260B05D1A}"/>
    <hyperlink ref="E65" r:id="rId84" xr:uid="{B08D698A-6288-4F4F-ACCC-65A435DF2C3C}"/>
    <hyperlink ref="E62" r:id="rId85" xr:uid="{1A139774-EEC6-4D59-9D01-CB69B523D1B1}"/>
    <hyperlink ref="E14" r:id="rId86" xr:uid="{1C680C14-3D72-414A-9553-40155CBA5352}"/>
    <hyperlink ref="E13" r:id="rId87" xr:uid="{DE80040B-CD21-4C8A-ACA7-A796230DB820}"/>
    <hyperlink ref="E12" r:id="rId88" xr:uid="{C1C294E1-7AD3-4394-9928-2E325C7822C5}"/>
    <hyperlink ref="E11" r:id="rId89" xr:uid="{659874A9-07A0-4795-82EC-3EA86F2C3B9A}"/>
    <hyperlink ref="E10" r:id="rId90" xr:uid="{B80EE1A1-6B84-4F8A-84BB-7BBA9D805132}"/>
    <hyperlink ref="E9" r:id="rId91" xr:uid="{99350502-1E89-4683-981A-104D21EFEB44}"/>
    <hyperlink ref="E8" r:id="rId92" xr:uid="{C696C03E-D019-4B57-BB29-AD96917FBC0B}"/>
    <hyperlink ref="E15" r:id="rId93" xr:uid="{22F84C80-79D1-4914-A244-8F9C81F83B7C}"/>
    <hyperlink ref="E7" r:id="rId94" xr:uid="{EC18CE8E-7900-44EE-870D-F655348DAEA2}"/>
    <hyperlink ref="E71" r:id="rId95" xr:uid="{954BC55D-C862-4EC8-9BCD-2D3F220708EC}"/>
    <hyperlink ref="E110" r:id="rId96" xr:uid="{11EE11CB-7E4A-494A-BBA7-9EB934F8391D}"/>
    <hyperlink ref="E111" r:id="rId97" xr:uid="{BF9DC3C6-CAD8-416E-950F-7A43D3C0725F}"/>
    <hyperlink ref="E112" r:id="rId98" xr:uid="{ECF53EC8-B112-4BD6-8EF0-C282BA3FA099}"/>
    <hyperlink ref="E113" r:id="rId99" xr:uid="{F44A3BAC-AD6F-4E52-8A4A-C2F863063859}"/>
    <hyperlink ref="E114" r:id="rId100" xr:uid="{64271D50-75D5-40C1-B6DD-CB9135194DE4}"/>
    <hyperlink ref="E116" r:id="rId101" xr:uid="{5D71DE85-1487-44D8-8F97-2414800FBC5B}"/>
    <hyperlink ref="E117" r:id="rId102" xr:uid="{608EA6EE-3C94-4603-B90C-293E56AAC950}"/>
    <hyperlink ref="E118" r:id="rId103" xr:uid="{28FB922D-D5F1-4ED7-84FF-3FA759600327}"/>
    <hyperlink ref="E119" r:id="rId104" xr:uid="{9089717E-3CB5-42DB-BA8D-1B379A0D50D2}"/>
    <hyperlink ref="E120" r:id="rId105" xr:uid="{54781281-4A0A-479F-BB68-9375A2377F42}"/>
    <hyperlink ref="E122" r:id="rId106" xr:uid="{9B3499C1-73EE-4C26-94F6-348AA65FC15B}"/>
    <hyperlink ref="E121" r:id="rId107" xr:uid="{FE3A29FE-AFE3-4EFA-9C39-4968687253C1}"/>
    <hyperlink ref="E123" r:id="rId108" xr:uid="{C1F3D23D-0D5E-4D54-B802-4C485DDB02C5}"/>
    <hyperlink ref="E124" r:id="rId109" xr:uid="{2ED12363-34FB-4AD3-A982-250CE53D7067}"/>
    <hyperlink ref="E125" r:id="rId110" xr:uid="{96AD4A62-6A2C-42B3-BE8E-838B4E1B6ACE}"/>
    <hyperlink ref="E133" r:id="rId111" xr:uid="{CAB46809-0FAD-4A1E-95D0-7B9C4D1793A1}"/>
    <hyperlink ref="E134" r:id="rId112" xr:uid="{161E9355-8551-4F55-BA1E-CD42996B0B28}"/>
    <hyperlink ref="E141" r:id="rId113" xr:uid="{70F10E17-652E-4C38-B980-14D1E5570AE0}"/>
    <hyperlink ref="E142" r:id="rId114" xr:uid="{63AFC7C8-F60A-40A7-92C6-7E3019B89C92}"/>
    <hyperlink ref="E72" r:id="rId115" xr:uid="{E82642B6-6947-4577-85A4-5C05ACE54C66}"/>
    <hyperlink ref="E73" r:id="rId116" xr:uid="{F15361C9-E9EB-4374-B8EE-FEBE59C2BF93}"/>
    <hyperlink ref="E68" r:id="rId117" xr:uid="{266A6AB5-A2DD-402B-B7BC-F265E51CDBDB}"/>
    <hyperlink ref="E74" r:id="rId118" xr:uid="{B41D7D42-A90E-4DC0-A106-CEF26158A9E4}"/>
    <hyperlink ref="E75" r:id="rId119" xr:uid="{7604E67A-6497-4345-9417-DAEEB4DF8C49}"/>
    <hyperlink ref="E76" r:id="rId120" xr:uid="{E888CD45-B823-4E8D-84EF-E3C2EEA23F0F}"/>
    <hyperlink ref="E77" r:id="rId121" xr:uid="{702F2CFB-1FB6-49D9-94A3-547C8E25FC6E}"/>
    <hyperlink ref="E144" r:id="rId122" xr:uid="{29BF42C9-A781-41DB-846A-A0A48C496839}"/>
    <hyperlink ref="E146" r:id="rId123" xr:uid="{7594C9B1-0E10-4F0D-95C3-6928E3FB7518}"/>
    <hyperlink ref="E147" r:id="rId124" xr:uid="{A902C055-BA08-4FFF-9855-346E350173CD}"/>
    <hyperlink ref="E148" r:id="rId125" xr:uid="{1FF32F2E-16BE-4EC5-9890-575A71BD6166}"/>
    <hyperlink ref="E149" r:id="rId126" xr:uid="{9657D623-38C0-4F5B-AFDD-FE4CFEA16451}"/>
    <hyperlink ref="E150" r:id="rId127" xr:uid="{54AF048E-CA37-4F44-8F79-DD9A115A8107}"/>
    <hyperlink ref="E154" r:id="rId128" xr:uid="{21CD30DF-A28F-459D-AE18-1EAB0507D084}"/>
    <hyperlink ref="E155" r:id="rId129" xr:uid="{71CC8BA9-48FD-4592-81BE-27B603D193E6}"/>
    <hyperlink ref="E145" r:id="rId130" xr:uid="{B6EF4AB0-6526-4B02-926E-79AB4E840330}"/>
    <hyperlink ref="E151" r:id="rId131" xr:uid="{0A10DFD3-7B07-4B33-9DD6-95F0A51DBC92}"/>
    <hyperlink ref="E152" r:id="rId132" xr:uid="{801B26C6-370A-45BA-87AE-1B4912DB0941}"/>
    <hyperlink ref="E153" r:id="rId133" xr:uid="{519E8B8A-75A2-44A7-932F-F4F8E50A0B0F}"/>
  </hyperlinks>
  <pageMargins left="0.7" right="0.7" top="0.75" bottom="0.75" header="0.3" footer="0.3"/>
  <pageSetup paperSize="9" orientation="portrait" r:id="rId134"/>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EE5D18-EF7D-4F18-BF58-EA8EE46E02E3}">
  <sheetPr>
    <tabColor rgb="FFDBDBDB"/>
  </sheetPr>
  <dimension ref="A1:M29"/>
  <sheetViews>
    <sheetView workbookViewId="0">
      <selection activeCell="C34" sqref="C34"/>
    </sheetView>
  </sheetViews>
  <sheetFormatPr defaultRowHeight="15.75" x14ac:dyDescent="0.25"/>
  <cols>
    <col min="2" max="2" width="26.25" customWidth="1"/>
    <col min="3" max="3" width="24.125" customWidth="1"/>
    <col min="4" max="4" width="27.25" customWidth="1"/>
    <col min="5" max="5" width="18.875" customWidth="1"/>
    <col min="10" max="13" width="38.5" customWidth="1"/>
  </cols>
  <sheetData>
    <row r="1" spans="1:13" x14ac:dyDescent="0.25">
      <c r="B1" s="237" t="s">
        <v>507</v>
      </c>
      <c r="C1" t="s">
        <v>1404</v>
      </c>
    </row>
    <row r="2" spans="1:13" s="239" customFormat="1" x14ac:dyDescent="0.25">
      <c r="A2" s="239" t="s">
        <v>255</v>
      </c>
      <c r="E2" s="240"/>
    </row>
    <row r="3" spans="1:13" s="14" customFormat="1" x14ac:dyDescent="0.25">
      <c r="A3" s="14" t="s">
        <v>3</v>
      </c>
      <c r="B3" s="14" t="s">
        <v>1405</v>
      </c>
      <c r="C3" s="14" t="s">
        <v>1406</v>
      </c>
      <c r="D3" s="14" t="s">
        <v>1407</v>
      </c>
      <c r="E3" s="426" t="s">
        <v>1408</v>
      </c>
      <c r="F3" s="426"/>
      <c r="G3" s="426"/>
      <c r="H3" s="426"/>
      <c r="I3" s="426"/>
      <c r="J3" s="14" t="s">
        <v>1409</v>
      </c>
      <c r="K3" s="14" t="s">
        <v>1410</v>
      </c>
      <c r="L3" s="14" t="s">
        <v>1411</v>
      </c>
    </row>
    <row r="4" spans="1:13" x14ac:dyDescent="0.25">
      <c r="E4" t="s">
        <v>1412</v>
      </c>
      <c r="F4" t="s">
        <v>1413</v>
      </c>
      <c r="G4" t="s">
        <v>1414</v>
      </c>
      <c r="H4" t="s">
        <v>1415</v>
      </c>
      <c r="I4" t="s">
        <v>1416</v>
      </c>
    </row>
    <row r="5" spans="1:13" x14ac:dyDescent="0.25">
      <c r="A5">
        <v>2019</v>
      </c>
      <c r="B5" s="375">
        <f>GWP!W139</f>
        <v>0.78100458271298412</v>
      </c>
      <c r="C5" s="375">
        <f>'Industries data'!G5</f>
        <v>0.21878939325942515</v>
      </c>
      <c r="D5" s="376">
        <f>C5/B5*100</f>
        <v>28.013842441156239</v>
      </c>
      <c r="E5" s="377">
        <v>29.5</v>
      </c>
      <c r="F5" s="377">
        <v>193.3</v>
      </c>
      <c r="G5" s="377">
        <v>66.3</v>
      </c>
      <c r="H5" s="377">
        <v>20.8</v>
      </c>
      <c r="I5" s="377">
        <f>SUM(E5:H5)</f>
        <v>309.90000000000003</v>
      </c>
      <c r="J5" s="375">
        <f>I5*1000000/'Industries data'!AL5</f>
        <v>0.1322360274896992</v>
      </c>
      <c r="K5" s="375">
        <f>J5/C5*100</f>
        <v>60.439871202029885</v>
      </c>
      <c r="L5" s="375">
        <f>J5/B5*100</f>
        <v>16.931530290174415</v>
      </c>
    </row>
    <row r="6" spans="1:13" x14ac:dyDescent="0.25">
      <c r="A6">
        <v>2018</v>
      </c>
      <c r="B6" s="375">
        <f>GWP!W140</f>
        <v>0.84640372120574003</v>
      </c>
      <c r="C6" s="375">
        <f>'Industries data'!G6</f>
        <v>0.25712411568792093</v>
      </c>
      <c r="D6" s="376">
        <f t="shared" ref="D6:D10" si="0">C6/B6*100</f>
        <v>30.378424532637467</v>
      </c>
      <c r="E6" s="377">
        <v>37.700000000000003</v>
      </c>
      <c r="F6" s="377">
        <v>255.2</v>
      </c>
      <c r="G6" s="377">
        <v>69.400000000000006</v>
      </c>
      <c r="H6" s="377">
        <v>32.1</v>
      </c>
      <c r="I6" s="377">
        <f t="shared" ref="I6:I10" si="1">SUM(E6:H6)</f>
        <v>394.4</v>
      </c>
      <c r="J6" s="375">
        <f>I6*1000000/'Industries data'!AL6</f>
        <v>0.17027172221062639</v>
      </c>
      <c r="K6" s="375">
        <f t="shared" ref="K6:K10" si="2">J6/C6*100</f>
        <v>66.221607317957748</v>
      </c>
      <c r="L6" s="375">
        <f t="shared" ref="L6:L10" si="3">J6/B6*100</f>
        <v>20.117081003385323</v>
      </c>
    </row>
    <row r="7" spans="1:13" x14ac:dyDescent="0.25">
      <c r="A7">
        <v>2017</v>
      </c>
      <c r="B7" s="375">
        <f>GWP!W141</f>
        <v>0.87668163772198215</v>
      </c>
      <c r="C7" s="375">
        <f>'Industries data'!G7</f>
        <v>0.27008207280075458</v>
      </c>
      <c r="D7" s="376">
        <f t="shared" si="0"/>
        <v>30.807314899688183</v>
      </c>
      <c r="E7" s="377">
        <v>34.4</v>
      </c>
      <c r="F7" s="377">
        <v>251</v>
      </c>
      <c r="G7" s="377">
        <v>72.400000000000006</v>
      </c>
      <c r="H7" s="377">
        <v>47.9</v>
      </c>
      <c r="I7" s="377">
        <f t="shared" si="1"/>
        <v>405.69999999999993</v>
      </c>
      <c r="J7" s="375">
        <f>I7*1000000/'Industries data'!AL7</f>
        <v>0.18142370319668938</v>
      </c>
      <c r="K7" s="375">
        <f t="shared" si="2"/>
        <v>67.173545180293985</v>
      </c>
      <c r="L7" s="375">
        <f t="shared" si="3"/>
        <v>20.694365592977483</v>
      </c>
    </row>
    <row r="8" spans="1:13" x14ac:dyDescent="0.25">
      <c r="A8">
        <v>2016</v>
      </c>
      <c r="B8" s="375">
        <f>GWP!W142</f>
        <v>0.89791502001172496</v>
      </c>
      <c r="C8" s="375">
        <f>'Industries data'!G8</f>
        <v>0.30684412666369365</v>
      </c>
      <c r="D8" s="376">
        <f t="shared" si="0"/>
        <v>34.172958445409108</v>
      </c>
      <c r="E8" s="377">
        <v>36.6</v>
      </c>
      <c r="F8" s="377">
        <v>291.7</v>
      </c>
      <c r="G8" s="377">
        <v>92.2</v>
      </c>
      <c r="H8" s="377">
        <v>59</v>
      </c>
      <c r="I8" s="377">
        <v>420</v>
      </c>
      <c r="J8" s="375">
        <f>I8*1000000/'Industries data'!AL8</f>
        <v>0.20924009760852735</v>
      </c>
      <c r="K8" s="375">
        <f t="shared" si="2"/>
        <v>68.19100625571302</v>
      </c>
      <c r="L8" s="375">
        <f t="shared" si="3"/>
        <v>23.30288423127114</v>
      </c>
    </row>
    <row r="9" spans="1:13" x14ac:dyDescent="0.25">
      <c r="A9">
        <v>2015</v>
      </c>
      <c r="B9" s="375">
        <f>GWP!W143</f>
        <v>0.92859670202269196</v>
      </c>
      <c r="C9" s="375">
        <f>'Industries data'!G9</f>
        <v>0.32261588921283069</v>
      </c>
      <c r="D9" s="376">
        <f t="shared" si="0"/>
        <v>34.742304006691057</v>
      </c>
      <c r="E9" s="377">
        <v>36.9</v>
      </c>
      <c r="F9" s="377">
        <v>260.7</v>
      </c>
      <c r="G9" s="377">
        <v>90.5</v>
      </c>
      <c r="H9" s="377">
        <v>46.6</v>
      </c>
      <c r="I9" s="377">
        <f t="shared" si="1"/>
        <v>434.7</v>
      </c>
      <c r="J9" s="375">
        <f>I9*1000000/'Industries data'!AL9</f>
        <v>0.22567812648883365</v>
      </c>
      <c r="K9" s="375">
        <f t="shared" si="2"/>
        <v>69.952576433689885</v>
      </c>
      <c r="L9" s="375">
        <f t="shared" si="3"/>
        <v>24.30313676510546</v>
      </c>
    </row>
    <row r="10" spans="1:13" x14ac:dyDescent="0.25">
      <c r="A10">
        <v>2014</v>
      </c>
      <c r="B10" s="375">
        <f>GWP!W144</f>
        <v>1.0141096251506518</v>
      </c>
      <c r="C10" s="375">
        <f>'Industries data'!G10</f>
        <v>0.34431845897422325</v>
      </c>
      <c r="D10" s="376">
        <f t="shared" si="0"/>
        <v>33.952784830641242</v>
      </c>
      <c r="E10" s="377">
        <v>39.9</v>
      </c>
      <c r="F10" s="377">
        <v>258.10000000000002</v>
      </c>
      <c r="G10" s="377">
        <v>87</v>
      </c>
      <c r="H10" s="377">
        <v>61</v>
      </c>
      <c r="I10" s="377">
        <f t="shared" si="1"/>
        <v>446</v>
      </c>
      <c r="J10" s="375">
        <f>I10*1000000/'Industries data'!AL10</f>
        <v>0.24433736309069778</v>
      </c>
      <c r="K10" s="375">
        <f t="shared" si="2"/>
        <v>70.96260938743039</v>
      </c>
      <c r="L10" s="375">
        <f t="shared" si="3"/>
        <v>24.093782075522661</v>
      </c>
    </row>
    <row r="11" spans="1:13" x14ac:dyDescent="0.25">
      <c r="B11" s="377"/>
      <c r="C11" s="377"/>
      <c r="D11" s="377"/>
      <c r="E11" s="377"/>
      <c r="F11" s="377"/>
      <c r="G11" s="377"/>
      <c r="H11" s="377"/>
      <c r="I11" s="377"/>
      <c r="J11" s="377"/>
      <c r="K11" s="377"/>
      <c r="L11" s="377"/>
    </row>
    <row r="12" spans="1:13" x14ac:dyDescent="0.25">
      <c r="B12" s="377"/>
      <c r="C12" s="377"/>
      <c r="D12" s="377"/>
      <c r="E12" s="377"/>
      <c r="F12" s="377"/>
      <c r="G12" s="377"/>
      <c r="H12" s="377"/>
      <c r="I12" s="377"/>
      <c r="J12" s="377"/>
      <c r="K12" s="378">
        <f>AVERAGEA(K5:K10)</f>
        <v>67.156869296185832</v>
      </c>
      <c r="L12" s="379">
        <f>AVERAGEA(L5:L10)</f>
        <v>21.573796659739415</v>
      </c>
    </row>
    <row r="14" spans="1:13" x14ac:dyDescent="0.25">
      <c r="B14" s="237" t="s">
        <v>507</v>
      </c>
      <c r="C14" s="167" t="s">
        <v>1417</v>
      </c>
    </row>
    <row r="15" spans="1:13" s="239" customFormat="1" x14ac:dyDescent="0.25">
      <c r="A15" s="239" t="s">
        <v>140</v>
      </c>
      <c r="B15" s="239" t="s">
        <v>1418</v>
      </c>
      <c r="J15" s="239" t="s">
        <v>1419</v>
      </c>
      <c r="K15" s="239" t="s">
        <v>1420</v>
      </c>
    </row>
    <row r="16" spans="1:13" s="14" customFormat="1" x14ac:dyDescent="0.25">
      <c r="A16" s="14" t="s">
        <v>1097</v>
      </c>
      <c r="B16" s="14" t="s">
        <v>1421</v>
      </c>
      <c r="J16" s="14" t="s">
        <v>1422</v>
      </c>
      <c r="K16" s="14" t="s">
        <v>1423</v>
      </c>
      <c r="L16" s="14" t="s">
        <v>1424</v>
      </c>
      <c r="M16" s="14" t="s">
        <v>1425</v>
      </c>
    </row>
    <row r="17" spans="1:13" x14ac:dyDescent="0.25">
      <c r="A17">
        <v>28</v>
      </c>
      <c r="B17">
        <v>0.75</v>
      </c>
      <c r="J17">
        <v>0.18</v>
      </c>
      <c r="K17">
        <v>0.1</v>
      </c>
      <c r="L17" s="27">
        <f>J17/B17*100</f>
        <v>24</v>
      </c>
      <c r="M17" s="27">
        <f>K17/B17*100</f>
        <v>13.333333333333334</v>
      </c>
    </row>
    <row r="18" spans="1:13" x14ac:dyDescent="0.25">
      <c r="A18">
        <v>20</v>
      </c>
      <c r="B18">
        <v>0.9</v>
      </c>
      <c r="J18">
        <v>0.19</v>
      </c>
      <c r="K18">
        <v>0.1</v>
      </c>
      <c r="L18" s="27">
        <f t="shared" ref="L18:L27" si="4">J18/B18*100</f>
        <v>21.111111111111111</v>
      </c>
      <c r="M18" s="27">
        <f t="shared" ref="M18:M27" si="5">K18/B18*100</f>
        <v>11.111111111111112</v>
      </c>
    </row>
    <row r="19" spans="1:13" x14ac:dyDescent="0.25">
      <c r="A19">
        <v>14</v>
      </c>
      <c r="B19">
        <v>0.85</v>
      </c>
      <c r="J19">
        <v>0.2</v>
      </c>
      <c r="K19">
        <v>0.11</v>
      </c>
      <c r="L19" s="27">
        <f t="shared" si="4"/>
        <v>23.529411764705884</v>
      </c>
      <c r="M19" s="27">
        <f t="shared" si="5"/>
        <v>12.941176470588237</v>
      </c>
    </row>
    <row r="20" spans="1:13" x14ac:dyDescent="0.25">
      <c r="A20">
        <v>10</v>
      </c>
      <c r="B20">
        <v>1.2</v>
      </c>
      <c r="J20">
        <v>0.23</v>
      </c>
      <c r="K20">
        <v>0.12</v>
      </c>
      <c r="L20" s="27">
        <f t="shared" si="4"/>
        <v>19.166666666666668</v>
      </c>
      <c r="M20" s="27">
        <f t="shared" si="5"/>
        <v>10</v>
      </c>
    </row>
    <row r="21" spans="1:13" x14ac:dyDescent="0.25">
      <c r="A21">
        <v>8</v>
      </c>
      <c r="B21">
        <v>1.35</v>
      </c>
      <c r="J21">
        <v>0.28999999999999998</v>
      </c>
      <c r="K21">
        <v>0.13500000000000001</v>
      </c>
      <c r="L21" s="27">
        <f t="shared" si="4"/>
        <v>21.481481481481481</v>
      </c>
      <c r="M21" s="27">
        <f t="shared" si="5"/>
        <v>10</v>
      </c>
    </row>
    <row r="22" spans="1:13" x14ac:dyDescent="0.25">
      <c r="A22" t="s">
        <v>992</v>
      </c>
      <c r="B22">
        <v>1.3</v>
      </c>
      <c r="J22">
        <v>0.22</v>
      </c>
      <c r="K22">
        <v>0.12</v>
      </c>
      <c r="L22" s="27">
        <f t="shared" si="4"/>
        <v>16.92307692307692</v>
      </c>
      <c r="M22" s="27">
        <f t="shared" si="5"/>
        <v>9.2307692307692299</v>
      </c>
    </row>
    <row r="23" spans="1:13" x14ac:dyDescent="0.25">
      <c r="A23">
        <v>7</v>
      </c>
      <c r="B23">
        <v>1.6</v>
      </c>
      <c r="J23">
        <v>0.4</v>
      </c>
      <c r="K23">
        <v>0.21</v>
      </c>
      <c r="L23" s="27">
        <f t="shared" si="4"/>
        <v>25</v>
      </c>
      <c r="M23" s="27">
        <f t="shared" si="5"/>
        <v>13.124999999999998</v>
      </c>
    </row>
    <row r="24" spans="1:13" x14ac:dyDescent="0.25">
      <c r="A24" t="s">
        <v>993</v>
      </c>
      <c r="B24">
        <v>1.6</v>
      </c>
      <c r="J24">
        <v>0.35</v>
      </c>
      <c r="K24">
        <v>0.2</v>
      </c>
      <c r="L24" s="27">
        <f t="shared" si="4"/>
        <v>21.874999999999996</v>
      </c>
      <c r="M24" s="27">
        <f t="shared" si="5"/>
        <v>12.5</v>
      </c>
    </row>
    <row r="25" spans="1:13" x14ac:dyDescent="0.25">
      <c r="A25">
        <v>6</v>
      </c>
      <c r="B25">
        <v>2.2000000000000002</v>
      </c>
      <c r="J25">
        <v>0.41</v>
      </c>
      <c r="K25">
        <v>0.21</v>
      </c>
      <c r="L25" s="27">
        <f t="shared" si="4"/>
        <v>18.636363636363633</v>
      </c>
      <c r="M25" s="27">
        <f t="shared" si="5"/>
        <v>9.545454545454545</v>
      </c>
    </row>
    <row r="26" spans="1:13" x14ac:dyDescent="0.25">
      <c r="A26">
        <v>5</v>
      </c>
      <c r="B26">
        <v>2.25</v>
      </c>
      <c r="J26">
        <v>0.42</v>
      </c>
      <c r="K26">
        <v>0.22</v>
      </c>
      <c r="L26" s="27">
        <f t="shared" si="4"/>
        <v>18.666666666666664</v>
      </c>
      <c r="M26" s="27">
        <f t="shared" si="5"/>
        <v>9.7777777777777786</v>
      </c>
    </row>
    <row r="27" spans="1:13" x14ac:dyDescent="0.25">
      <c r="A27">
        <v>3</v>
      </c>
      <c r="B27">
        <v>2.5499999999999998</v>
      </c>
      <c r="J27">
        <v>0.48</v>
      </c>
      <c r="K27">
        <v>0.24</v>
      </c>
      <c r="L27" s="27">
        <f t="shared" si="4"/>
        <v>18.823529411764707</v>
      </c>
      <c r="M27" s="27">
        <f t="shared" si="5"/>
        <v>9.4117647058823533</v>
      </c>
    </row>
    <row r="28" spans="1:13" x14ac:dyDescent="0.25">
      <c r="M28" s="27"/>
    </row>
    <row r="29" spans="1:13" x14ac:dyDescent="0.25">
      <c r="L29" s="241">
        <f>AVERAGEA(L17:L27)</f>
        <v>20.837573423803367</v>
      </c>
      <c r="M29" s="241">
        <f>AVERAGEA(M17:M27)</f>
        <v>10.997853379537872</v>
      </c>
    </row>
  </sheetData>
  <mergeCells count="1">
    <mergeCell ref="E3:I3"/>
  </mergeCells>
  <hyperlinks>
    <hyperlink ref="C14" r:id="rId1" xr:uid="{B528C1E1-EC3B-4D84-8BBF-2A13FB7F27BE}"/>
  </hyperlinks>
  <pageMargins left="0.7" right="0.7" top="0.75" bottom="0.75" header="0.3" footer="0.3"/>
  <pageSetup paperSize="9" orientation="portrait" r:id="rId2"/>
  <legacy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B08CED-CDB8-417C-A662-8DCC8F8FD2A3}">
  <sheetPr>
    <tabColor rgb="FFFFD966"/>
  </sheetPr>
  <dimension ref="B2:G16"/>
  <sheetViews>
    <sheetView workbookViewId="0">
      <selection activeCell="E15" sqref="E15"/>
    </sheetView>
  </sheetViews>
  <sheetFormatPr defaultRowHeight="15.75" x14ac:dyDescent="0.25"/>
  <cols>
    <col min="1" max="1" width="2" customWidth="1"/>
    <col min="2" max="2" width="33.5" customWidth="1"/>
    <col min="4" max="4" width="16.375" customWidth="1"/>
    <col min="5" max="5" width="25.75" style="11" customWidth="1"/>
    <col min="6" max="6" width="85.5" customWidth="1"/>
  </cols>
  <sheetData>
    <row r="2" spans="2:7" x14ac:dyDescent="0.25">
      <c r="B2" s="235" t="s">
        <v>483</v>
      </c>
      <c r="C2" s="235" t="s">
        <v>68</v>
      </c>
      <c r="D2" s="235" t="s">
        <v>484</v>
      </c>
      <c r="E2" s="236" t="s">
        <v>1</v>
      </c>
      <c r="F2" s="236" t="s">
        <v>485</v>
      </c>
    </row>
    <row r="3" spans="2:7" ht="48" customHeight="1" x14ac:dyDescent="0.25">
      <c r="B3" s="320" t="s">
        <v>486</v>
      </c>
      <c r="C3" s="3">
        <v>2.5</v>
      </c>
      <c r="D3" s="34" t="s">
        <v>487</v>
      </c>
      <c r="E3" s="34" t="s">
        <v>488</v>
      </c>
      <c r="F3" s="321"/>
      <c r="G3" t="s">
        <v>489</v>
      </c>
    </row>
    <row r="4" spans="2:7" x14ac:dyDescent="0.25">
      <c r="B4" s="320" t="s">
        <v>490</v>
      </c>
      <c r="C4" s="3">
        <v>2.5</v>
      </c>
      <c r="D4" s="34" t="s">
        <v>487</v>
      </c>
      <c r="E4" s="34"/>
      <c r="F4" s="34"/>
    </row>
    <row r="5" spans="2:7" x14ac:dyDescent="0.25">
      <c r="B5" s="320" t="s">
        <v>491</v>
      </c>
      <c r="C5" s="3">
        <v>2.5</v>
      </c>
      <c r="D5" s="34" t="s">
        <v>487</v>
      </c>
      <c r="E5" s="34"/>
      <c r="F5" s="34"/>
    </row>
    <row r="6" spans="2:7" x14ac:dyDescent="0.25">
      <c r="B6" s="320" t="s">
        <v>492</v>
      </c>
      <c r="C6" s="3">
        <v>1</v>
      </c>
      <c r="D6" s="34" t="s">
        <v>487</v>
      </c>
      <c r="E6" s="34"/>
      <c r="F6" s="34"/>
    </row>
    <row r="7" spans="2:7" x14ac:dyDescent="0.25">
      <c r="B7" s="320" t="s">
        <v>493</v>
      </c>
      <c r="C7" s="3">
        <v>2.5</v>
      </c>
      <c r="D7" s="34" t="s">
        <v>487</v>
      </c>
      <c r="E7" s="34"/>
      <c r="F7" s="320" t="s">
        <v>494</v>
      </c>
      <c r="G7" t="s">
        <v>495</v>
      </c>
    </row>
    <row r="8" spans="2:7" ht="47.25" x14ac:dyDescent="0.25">
      <c r="B8" s="320" t="s">
        <v>496</v>
      </c>
      <c r="C8" s="3">
        <v>0.47499999999999998</v>
      </c>
      <c r="D8" s="34" t="s">
        <v>497</v>
      </c>
      <c r="E8" s="34" t="s">
        <v>498</v>
      </c>
      <c r="F8" s="322" t="s">
        <v>499</v>
      </c>
    </row>
    <row r="9" spans="2:7" x14ac:dyDescent="0.25">
      <c r="C9" s="3"/>
      <c r="E9"/>
    </row>
    <row r="10" spans="2:7" x14ac:dyDescent="0.25">
      <c r="C10" s="3"/>
      <c r="E10"/>
    </row>
    <row r="11" spans="2:7" x14ac:dyDescent="0.25">
      <c r="B11" s="235" t="s">
        <v>500</v>
      </c>
      <c r="C11" s="235" t="s">
        <v>68</v>
      </c>
      <c r="D11" s="235" t="s">
        <v>484</v>
      </c>
      <c r="E11" s="235" t="s">
        <v>1</v>
      </c>
    </row>
    <row r="12" spans="2:7" x14ac:dyDescent="0.25">
      <c r="B12" s="320" t="s">
        <v>501</v>
      </c>
      <c r="C12" s="81">
        <v>3.6</v>
      </c>
      <c r="D12" s="34" t="s">
        <v>502</v>
      </c>
      <c r="E12" s="34" t="s">
        <v>503</v>
      </c>
    </row>
    <row r="13" spans="2:7" x14ac:dyDescent="0.25">
      <c r="B13" s="320" t="s">
        <v>504</v>
      </c>
      <c r="C13" s="371">
        <v>6.4516</v>
      </c>
      <c r="D13" s="34" t="s">
        <v>505</v>
      </c>
      <c r="E13" s="34" t="s">
        <v>503</v>
      </c>
    </row>
    <row r="14" spans="2:7" x14ac:dyDescent="0.25">
      <c r="B14" s="14" t="s">
        <v>506</v>
      </c>
      <c r="C14" s="370">
        <f>PI()*(8/2)*(8/2)*C13</f>
        <v>324.29278662239852</v>
      </c>
      <c r="E14" t="s">
        <v>503</v>
      </c>
    </row>
    <row r="16" spans="2:7" x14ac:dyDescent="0.25">
      <c r="G16" s="27"/>
    </row>
  </sheetData>
  <hyperlinks>
    <hyperlink ref="E3" r:id="rId1" xr:uid="{32543F8B-9E0F-4D5B-93E5-78B1122DFCC5}"/>
    <hyperlink ref="E8" r:id="rId2" xr:uid="{3F83830E-5092-48D3-A2DB-0FA14BDB8F7B}"/>
  </hyperlinks>
  <pageMargins left="0.7" right="0.7" top="0.75" bottom="0.75" header="0.3" footer="0.3"/>
  <pageSetup paperSize="9" orientation="portrait"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8C5835-33BF-41EB-9D72-F46B0A77BC08}">
  <sheetPr>
    <tabColor rgb="FF44546A"/>
  </sheetPr>
  <dimension ref="B2:G20"/>
  <sheetViews>
    <sheetView workbookViewId="0">
      <selection activeCell="B17" sqref="B17:G20"/>
    </sheetView>
  </sheetViews>
  <sheetFormatPr defaultRowHeight="15.75" x14ac:dyDescent="0.25"/>
  <cols>
    <col min="2" max="2" width="26.375" customWidth="1"/>
    <col min="3" max="7" width="22" customWidth="1"/>
    <col min="8" max="12" width="10.375" customWidth="1"/>
  </cols>
  <sheetData>
    <row r="2" spans="2:7" x14ac:dyDescent="0.25">
      <c r="B2" s="237" t="s">
        <v>507</v>
      </c>
      <c r="C2" t="s">
        <v>508</v>
      </c>
    </row>
    <row r="4" spans="2:7" s="14" customFormat="1" x14ac:dyDescent="0.25">
      <c r="B4" s="288" t="s">
        <v>509</v>
      </c>
      <c r="C4" s="288" t="s">
        <v>510</v>
      </c>
      <c r="D4" s="288" t="s">
        <v>511</v>
      </c>
      <c r="E4" s="288" t="s">
        <v>512</v>
      </c>
      <c r="F4" s="289" t="s">
        <v>513</v>
      </c>
      <c r="G4" s="288" t="s">
        <v>514</v>
      </c>
    </row>
    <row r="5" spans="2:7" x14ac:dyDescent="0.25">
      <c r="B5" s="36"/>
      <c r="C5" s="36">
        <v>20</v>
      </c>
      <c r="D5" s="155">
        <v>1.31</v>
      </c>
      <c r="E5" s="155">
        <v>17.5</v>
      </c>
      <c r="F5" s="162">
        <v>2.0899999999999998E-2</v>
      </c>
      <c r="G5" s="155">
        <f t="shared" ref="G5:G14" si="0">F5*1000</f>
        <v>20.9</v>
      </c>
    </row>
    <row r="6" spans="2:7" x14ac:dyDescent="0.25">
      <c r="B6" s="163">
        <v>130</v>
      </c>
      <c r="C6" s="36">
        <v>29</v>
      </c>
      <c r="D6" s="159">
        <v>1.61</v>
      </c>
      <c r="E6" s="156">
        <v>25</v>
      </c>
      <c r="F6" s="162">
        <v>2.3099999999999999E-2</v>
      </c>
      <c r="G6" s="156">
        <f t="shared" si="0"/>
        <v>23.099999999999998</v>
      </c>
    </row>
    <row r="7" spans="2:7" x14ac:dyDescent="0.25">
      <c r="B7" s="164">
        <v>90</v>
      </c>
      <c r="C7" s="36">
        <v>33</v>
      </c>
      <c r="D7" s="160">
        <v>2.12</v>
      </c>
      <c r="E7" s="157">
        <v>28.3</v>
      </c>
      <c r="F7" s="162">
        <v>2.41E-2</v>
      </c>
      <c r="G7" s="157">
        <f t="shared" si="0"/>
        <v>24.1</v>
      </c>
    </row>
    <row r="8" spans="2:7" x14ac:dyDescent="0.25">
      <c r="B8" s="36"/>
      <c r="C8" s="36">
        <v>40</v>
      </c>
      <c r="D8" s="155">
        <v>2.56</v>
      </c>
      <c r="E8" s="155">
        <v>34.1</v>
      </c>
      <c r="F8" s="162">
        <v>2.5899999999999999E-2</v>
      </c>
      <c r="G8" s="155">
        <f t="shared" si="0"/>
        <v>25.9</v>
      </c>
    </row>
    <row r="9" spans="2:7" x14ac:dyDescent="0.25">
      <c r="B9" s="163">
        <v>28</v>
      </c>
      <c r="C9" s="36">
        <v>50</v>
      </c>
      <c r="D9" s="159">
        <v>2.73</v>
      </c>
      <c r="E9" s="156">
        <v>42.4</v>
      </c>
      <c r="F9" s="162">
        <v>2.8400000000000002E-2</v>
      </c>
      <c r="G9" s="156">
        <f t="shared" si="0"/>
        <v>28.400000000000002</v>
      </c>
    </row>
    <row r="10" spans="2:7" x14ac:dyDescent="0.25">
      <c r="B10" s="165">
        <v>16</v>
      </c>
      <c r="C10" s="36">
        <v>55</v>
      </c>
      <c r="D10" s="161">
        <v>3</v>
      </c>
      <c r="E10" s="158">
        <v>46.5</v>
      </c>
      <c r="F10" s="162">
        <v>2.9600000000000001E-2</v>
      </c>
      <c r="G10" s="158">
        <f t="shared" si="0"/>
        <v>29.6</v>
      </c>
    </row>
    <row r="11" spans="2:7" x14ac:dyDescent="0.25">
      <c r="B11" s="165">
        <v>14</v>
      </c>
      <c r="C11" s="36">
        <v>58</v>
      </c>
      <c r="D11" s="161">
        <v>3.16</v>
      </c>
      <c r="E11" s="158">
        <v>49</v>
      </c>
      <c r="F11" s="162">
        <v>3.04E-2</v>
      </c>
      <c r="G11" s="158">
        <f t="shared" si="0"/>
        <v>30.4</v>
      </c>
    </row>
    <row r="12" spans="2:7" x14ac:dyDescent="0.25">
      <c r="B12" s="165">
        <v>12</v>
      </c>
      <c r="C12" s="36">
        <v>64</v>
      </c>
      <c r="D12" s="161">
        <v>3.48</v>
      </c>
      <c r="E12" s="158">
        <v>54</v>
      </c>
      <c r="F12" s="162">
        <v>3.1899999999999998E-2</v>
      </c>
      <c r="G12" s="158">
        <f t="shared" si="0"/>
        <v>31.9</v>
      </c>
    </row>
    <row r="13" spans="2:7" x14ac:dyDescent="0.25">
      <c r="B13" s="165">
        <v>8</v>
      </c>
      <c r="C13" s="36">
        <v>70</v>
      </c>
      <c r="D13" s="161">
        <v>3.81</v>
      </c>
      <c r="E13" s="158">
        <v>59</v>
      </c>
      <c r="F13" s="162">
        <v>3.3399999999999999E-2</v>
      </c>
      <c r="G13" s="158">
        <f t="shared" si="0"/>
        <v>33.4</v>
      </c>
    </row>
    <row r="14" spans="2:7" x14ac:dyDescent="0.25">
      <c r="B14" s="164">
        <v>7</v>
      </c>
      <c r="C14" s="36">
        <v>75</v>
      </c>
      <c r="D14" s="160">
        <v>4.07</v>
      </c>
      <c r="E14" s="157">
        <v>63.1</v>
      </c>
      <c r="F14" s="162">
        <v>3.4599999999999999E-2</v>
      </c>
      <c r="G14" s="157">
        <f t="shared" si="0"/>
        <v>34.6</v>
      </c>
    </row>
    <row r="17" spans="2:7" x14ac:dyDescent="0.25">
      <c r="B17" s="384" t="s">
        <v>515</v>
      </c>
      <c r="C17" s="384"/>
      <c r="D17" s="384"/>
      <c r="E17" s="384"/>
      <c r="F17" s="384"/>
      <c r="G17" s="384"/>
    </row>
    <row r="18" spans="2:7" x14ac:dyDescent="0.25">
      <c r="B18" s="384"/>
      <c r="C18" s="384"/>
      <c r="D18" s="384"/>
      <c r="E18" s="384"/>
      <c r="F18" s="384"/>
      <c r="G18" s="384"/>
    </row>
    <row r="19" spans="2:7" x14ac:dyDescent="0.25">
      <c r="B19" s="384"/>
      <c r="C19" s="384"/>
      <c r="D19" s="384"/>
      <c r="E19" s="384"/>
      <c r="F19" s="384"/>
      <c r="G19" s="384"/>
    </row>
    <row r="20" spans="2:7" x14ac:dyDescent="0.25">
      <c r="B20" s="384"/>
      <c r="C20" s="384"/>
      <c r="D20" s="384"/>
      <c r="E20" s="384"/>
      <c r="F20" s="384"/>
      <c r="G20" s="384"/>
    </row>
  </sheetData>
  <mergeCells count="1">
    <mergeCell ref="B17:G20"/>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6C7A55-9D8B-49FE-94A6-9923BC4ECFA6}">
  <sheetPr>
    <tabColor rgb="FF44546A"/>
  </sheetPr>
  <dimension ref="B2:F28"/>
  <sheetViews>
    <sheetView workbookViewId="0">
      <selection activeCell="L20" sqref="L20"/>
    </sheetView>
  </sheetViews>
  <sheetFormatPr defaultRowHeight="15.75" x14ac:dyDescent="0.25"/>
  <cols>
    <col min="2" max="2" width="20.125" customWidth="1"/>
    <col min="3" max="3" width="16.25" customWidth="1"/>
    <col min="4" max="4" width="22.5" customWidth="1"/>
    <col min="5" max="6" width="21.125" customWidth="1"/>
  </cols>
  <sheetData>
    <row r="2" spans="2:6" x14ac:dyDescent="0.25">
      <c r="B2" s="237" t="s">
        <v>507</v>
      </c>
      <c r="C2" t="s">
        <v>516</v>
      </c>
    </row>
    <row r="4" spans="2:6" x14ac:dyDescent="0.25">
      <c r="B4" s="230" t="s">
        <v>517</v>
      </c>
    </row>
    <row r="6" spans="2:6" x14ac:dyDescent="0.25">
      <c r="B6" s="288" t="s">
        <v>518</v>
      </c>
      <c r="C6" s="288" t="s">
        <v>519</v>
      </c>
      <c r="D6" s="288" t="s">
        <v>511</v>
      </c>
      <c r="E6" s="288" t="s">
        <v>512</v>
      </c>
      <c r="F6" s="288" t="s">
        <v>520</v>
      </c>
    </row>
    <row r="7" spans="2:6" x14ac:dyDescent="0.25">
      <c r="B7" s="372"/>
      <c r="C7" s="372" t="s">
        <v>521</v>
      </c>
      <c r="D7" s="372"/>
      <c r="E7" s="372"/>
      <c r="F7" s="372"/>
    </row>
    <row r="8" spans="2:6" x14ac:dyDescent="0.25">
      <c r="B8" s="14">
        <v>350</v>
      </c>
      <c r="C8" s="219" t="s">
        <v>46</v>
      </c>
      <c r="D8" t="s">
        <v>74</v>
      </c>
      <c r="E8" t="s">
        <v>74</v>
      </c>
      <c r="F8" t="s">
        <v>74</v>
      </c>
    </row>
    <row r="9" spans="2:6" x14ac:dyDescent="0.25">
      <c r="B9" s="14">
        <v>250</v>
      </c>
      <c r="C9" s="219" t="s">
        <v>46</v>
      </c>
      <c r="D9" t="s">
        <v>74</v>
      </c>
      <c r="E9" t="s">
        <v>74</v>
      </c>
      <c r="F9" t="s">
        <v>74</v>
      </c>
    </row>
    <row r="10" spans="2:6" x14ac:dyDescent="0.25">
      <c r="B10" s="14">
        <v>180</v>
      </c>
      <c r="C10" s="219" t="s">
        <v>46</v>
      </c>
      <c r="D10" t="s">
        <v>74</v>
      </c>
      <c r="E10" t="s">
        <v>74</v>
      </c>
      <c r="F10" t="s">
        <v>74</v>
      </c>
    </row>
    <row r="11" spans="2:6" x14ac:dyDescent="0.25">
      <c r="B11" s="14">
        <v>130</v>
      </c>
      <c r="C11" s="219" t="s">
        <v>46</v>
      </c>
      <c r="D11" t="s">
        <v>74</v>
      </c>
      <c r="E11" t="s">
        <v>74</v>
      </c>
      <c r="F11" t="s">
        <v>74</v>
      </c>
    </row>
    <row r="12" spans="2:6" x14ac:dyDescent="0.25">
      <c r="B12" s="14">
        <v>90</v>
      </c>
      <c r="C12" s="219" t="s">
        <v>46</v>
      </c>
      <c r="D12" t="s">
        <v>74</v>
      </c>
      <c r="E12" t="s">
        <v>74</v>
      </c>
      <c r="F12" t="s">
        <v>74</v>
      </c>
    </row>
    <row r="13" spans="2:6" x14ac:dyDescent="0.25">
      <c r="B13" s="14">
        <v>65</v>
      </c>
      <c r="C13" s="219" t="s">
        <v>46</v>
      </c>
      <c r="D13" t="s">
        <v>74</v>
      </c>
      <c r="E13" t="s">
        <v>74</v>
      </c>
      <c r="F13" t="s">
        <v>74</v>
      </c>
    </row>
    <row r="14" spans="2:6" x14ac:dyDescent="0.25">
      <c r="B14" s="14">
        <v>45</v>
      </c>
      <c r="C14" s="219" t="s">
        <v>46</v>
      </c>
      <c r="D14" t="s">
        <v>74</v>
      </c>
      <c r="E14" t="s">
        <v>74</v>
      </c>
      <c r="F14" t="s">
        <v>74</v>
      </c>
    </row>
    <row r="15" spans="2:6" x14ac:dyDescent="0.25">
      <c r="B15" s="14">
        <v>32</v>
      </c>
      <c r="C15" s="219" t="s">
        <v>46</v>
      </c>
      <c r="D15" t="s">
        <v>74</v>
      </c>
      <c r="E15" t="s">
        <v>74</v>
      </c>
      <c r="F15" t="s">
        <v>74</v>
      </c>
    </row>
    <row r="16" spans="2:6" x14ac:dyDescent="0.25">
      <c r="B16" s="14">
        <v>22</v>
      </c>
      <c r="C16" s="219" t="s">
        <v>46</v>
      </c>
      <c r="D16" t="s">
        <v>74</v>
      </c>
      <c r="E16" t="s">
        <v>74</v>
      </c>
      <c r="F16" t="s">
        <v>74</v>
      </c>
    </row>
    <row r="17" spans="2:6" x14ac:dyDescent="0.25">
      <c r="B17" s="14">
        <v>14</v>
      </c>
      <c r="C17" s="219" t="s">
        <v>46</v>
      </c>
      <c r="D17" t="s">
        <v>74</v>
      </c>
      <c r="E17" t="s">
        <v>74</v>
      </c>
      <c r="F17" t="s">
        <v>74</v>
      </c>
    </row>
    <row r="18" spans="2:6" x14ac:dyDescent="0.25">
      <c r="B18" s="372"/>
      <c r="C18" s="372" t="s">
        <v>522</v>
      </c>
      <c r="D18" s="372"/>
      <c r="E18" s="372"/>
      <c r="F18" s="372"/>
    </row>
    <row r="19" spans="2:6" x14ac:dyDescent="0.25">
      <c r="B19" s="14">
        <v>57</v>
      </c>
      <c r="C19" s="219" t="s">
        <v>52</v>
      </c>
      <c r="D19" t="s">
        <v>74</v>
      </c>
      <c r="E19" t="s">
        <v>74</v>
      </c>
      <c r="F19" t="s">
        <v>74</v>
      </c>
    </row>
    <row r="20" spans="2:6" x14ac:dyDescent="0.25">
      <c r="B20" s="14">
        <v>45</v>
      </c>
      <c r="C20" s="219" t="s">
        <v>52</v>
      </c>
      <c r="D20" t="s">
        <v>74</v>
      </c>
      <c r="E20" t="s">
        <v>74</v>
      </c>
      <c r="F20" t="s">
        <v>74</v>
      </c>
    </row>
    <row r="24" spans="2:6" x14ac:dyDescent="0.25">
      <c r="B24" s="384" t="s">
        <v>523</v>
      </c>
      <c r="C24" s="384"/>
      <c r="D24" s="384"/>
      <c r="E24" s="384"/>
      <c r="F24" s="384"/>
    </row>
    <row r="25" spans="2:6" x14ac:dyDescent="0.25">
      <c r="B25" s="384"/>
      <c r="C25" s="384"/>
      <c r="D25" s="384"/>
      <c r="E25" s="384"/>
      <c r="F25" s="384"/>
    </row>
    <row r="26" spans="2:6" x14ac:dyDescent="0.25">
      <c r="B26" s="384"/>
      <c r="C26" s="384"/>
      <c r="D26" s="384"/>
      <c r="E26" s="384"/>
      <c r="F26" s="384"/>
    </row>
    <row r="27" spans="2:6" x14ac:dyDescent="0.25">
      <c r="B27" s="384"/>
      <c r="C27" s="384"/>
      <c r="D27" s="384"/>
      <c r="E27" s="384"/>
      <c r="F27" s="384"/>
    </row>
    <row r="28" spans="2:6" x14ac:dyDescent="0.25">
      <c r="B28" s="384"/>
      <c r="C28" s="384"/>
      <c r="D28" s="384"/>
      <c r="E28" s="384"/>
      <c r="F28" s="384"/>
    </row>
  </sheetData>
  <mergeCells count="1">
    <mergeCell ref="B24:F28"/>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E63C7-35F2-4072-99E1-AC312FAB6613}">
  <sheetPr>
    <tabColor rgb="FF44546A"/>
  </sheetPr>
  <dimension ref="B2:P39"/>
  <sheetViews>
    <sheetView workbookViewId="0">
      <selection activeCell="N22" sqref="N22"/>
    </sheetView>
  </sheetViews>
  <sheetFormatPr defaultRowHeight="15.75" x14ac:dyDescent="0.25"/>
  <cols>
    <col min="2" max="2" width="22.75" customWidth="1"/>
    <col min="4" max="4" width="11.375" customWidth="1"/>
    <col min="6" max="6" width="12.625" bestFit="1" customWidth="1"/>
    <col min="8" max="8" width="13.75" bestFit="1" customWidth="1"/>
    <col min="10" max="10" width="13" customWidth="1"/>
  </cols>
  <sheetData>
    <row r="2" spans="2:16" x14ac:dyDescent="0.25">
      <c r="B2" s="237" t="s">
        <v>507</v>
      </c>
      <c r="C2" t="s">
        <v>524</v>
      </c>
    </row>
    <row r="3" spans="2:16" x14ac:dyDescent="0.25">
      <c r="B3" s="237" t="s">
        <v>507</v>
      </c>
      <c r="C3" t="s">
        <v>525</v>
      </c>
    </row>
    <row r="5" spans="2:16" x14ac:dyDescent="0.25">
      <c r="B5" s="239" t="s">
        <v>526</v>
      </c>
    </row>
    <row r="6" spans="2:16" x14ac:dyDescent="0.25">
      <c r="B6" t="s">
        <v>527</v>
      </c>
      <c r="E6" t="s">
        <v>528</v>
      </c>
      <c r="G6" t="s">
        <v>529</v>
      </c>
      <c r="J6" t="s">
        <v>530</v>
      </c>
      <c r="L6" t="s">
        <v>531</v>
      </c>
      <c r="P6" t="s">
        <v>532</v>
      </c>
    </row>
    <row r="7" spans="2:16" x14ac:dyDescent="0.25">
      <c r="B7" t="s">
        <v>533</v>
      </c>
      <c r="D7">
        <v>1350</v>
      </c>
      <c r="E7" t="s">
        <v>534</v>
      </c>
    </row>
    <row r="8" spans="2:16" x14ac:dyDescent="0.25">
      <c r="D8">
        <v>11.2</v>
      </c>
      <c r="E8" t="s">
        <v>535</v>
      </c>
    </row>
    <row r="9" spans="2:16" x14ac:dyDescent="0.25">
      <c r="D9">
        <f>15940+2490+0.158+263+232+1060</f>
        <v>19985.157999999999</v>
      </c>
      <c r="E9" t="s">
        <v>536</v>
      </c>
    </row>
    <row r="11" spans="2:16" x14ac:dyDescent="0.25">
      <c r="B11" s="239" t="s">
        <v>537</v>
      </c>
      <c r="D11" t="s">
        <v>538</v>
      </c>
    </row>
    <row r="13" spans="2:16" x14ac:dyDescent="0.25">
      <c r="B13" t="s">
        <v>539</v>
      </c>
      <c r="D13">
        <v>118</v>
      </c>
      <c r="E13" t="s">
        <v>540</v>
      </c>
      <c r="F13" t="s">
        <v>541</v>
      </c>
      <c r="G13" t="s">
        <v>542</v>
      </c>
    </row>
    <row r="14" spans="2:16" s="233" customFormat="1" x14ac:dyDescent="0.25">
      <c r="B14" s="233" t="s">
        <v>543</v>
      </c>
      <c r="D14" s="233">
        <v>576</v>
      </c>
      <c r="E14" s="233" t="s">
        <v>540</v>
      </c>
      <c r="F14" s="233" t="s">
        <v>544</v>
      </c>
      <c r="G14" s="233" t="s">
        <v>545</v>
      </c>
    </row>
    <row r="15" spans="2:16" x14ac:dyDescent="0.25">
      <c r="B15" t="s">
        <v>543</v>
      </c>
      <c r="D15">
        <v>180</v>
      </c>
      <c r="E15" t="s">
        <v>540</v>
      </c>
      <c r="F15" t="s">
        <v>546</v>
      </c>
      <c r="G15" t="s">
        <v>547</v>
      </c>
    </row>
    <row r="17" spans="2:10" x14ac:dyDescent="0.25">
      <c r="B17" t="s">
        <v>548</v>
      </c>
    </row>
    <row r="20" spans="2:10" x14ac:dyDescent="0.25">
      <c r="B20" s="239" t="s">
        <v>549</v>
      </c>
      <c r="C20" s="188"/>
      <c r="D20" s="188"/>
      <c r="E20" s="188"/>
      <c r="F20" s="188"/>
      <c r="G20" s="188"/>
      <c r="H20" s="188"/>
      <c r="I20" s="188"/>
      <c r="J20" s="188"/>
    </row>
    <row r="21" spans="2:10" x14ac:dyDescent="0.25">
      <c r="D21" t="s">
        <v>541</v>
      </c>
      <c r="F21" s="233" t="s">
        <v>544</v>
      </c>
      <c r="H21" s="97" t="s">
        <v>546</v>
      </c>
    </row>
    <row r="22" spans="2:10" x14ac:dyDescent="0.25">
      <c r="D22" s="29">
        <f>$D$7/$D$13</f>
        <v>11.440677966101696</v>
      </c>
      <c r="F22" s="310">
        <f>$D$7/$D$14</f>
        <v>2.34375</v>
      </c>
      <c r="H22" s="308">
        <f>$D$7/$D$15</f>
        <v>7.5</v>
      </c>
      <c r="J22" s="239" t="s">
        <v>550</v>
      </c>
    </row>
    <row r="23" spans="2:10" x14ac:dyDescent="0.25">
      <c r="D23" s="29">
        <f>$D$8*1000/$D$13</f>
        <v>94.915254237288138</v>
      </c>
      <c r="F23" s="310">
        <f>$D$8*1000/$D$14</f>
        <v>19.444444444444443</v>
      </c>
      <c r="H23" s="308">
        <f>$D$8*1000/$D$15</f>
        <v>62.222222222222221</v>
      </c>
      <c r="J23" s="239" t="s">
        <v>551</v>
      </c>
    </row>
    <row r="24" spans="2:10" x14ac:dyDescent="0.25">
      <c r="D24" s="29">
        <f>$D$9/$D$13</f>
        <v>169.36574576271187</v>
      </c>
      <c r="F24" s="310">
        <f>$D$9/$D$14</f>
        <v>34.696454861111107</v>
      </c>
      <c r="H24" s="309">
        <f>$D$9/$D$15</f>
        <v>111.02865555555556</v>
      </c>
      <c r="J24" s="239" t="s">
        <v>552</v>
      </c>
    </row>
    <row r="29" spans="2:10" ht="15.75" customHeight="1" x14ac:dyDescent="0.25">
      <c r="B29" s="384" t="s">
        <v>553</v>
      </c>
      <c r="C29" s="384"/>
      <c r="D29" s="384"/>
      <c r="E29" s="384"/>
      <c r="F29" s="384"/>
      <c r="G29" s="384"/>
      <c r="H29" s="384"/>
      <c r="I29" s="384"/>
      <c r="J29" s="384"/>
    </row>
    <row r="30" spans="2:10" x14ac:dyDescent="0.25">
      <c r="B30" s="384"/>
      <c r="C30" s="384"/>
      <c r="D30" s="384"/>
      <c r="E30" s="384"/>
      <c r="F30" s="384"/>
      <c r="G30" s="384"/>
      <c r="H30" s="384"/>
      <c r="I30" s="384"/>
      <c r="J30" s="384"/>
    </row>
    <row r="31" spans="2:10" x14ac:dyDescent="0.25">
      <c r="B31" s="384"/>
      <c r="C31" s="384"/>
      <c r="D31" s="384"/>
      <c r="E31" s="384"/>
      <c r="F31" s="384"/>
      <c r="G31" s="384"/>
      <c r="H31" s="384"/>
      <c r="I31" s="384"/>
      <c r="J31" s="384"/>
    </row>
    <row r="32" spans="2:10" x14ac:dyDescent="0.25">
      <c r="B32" s="384"/>
      <c r="C32" s="384"/>
      <c r="D32" s="384"/>
      <c r="E32" s="384"/>
      <c r="F32" s="384"/>
      <c r="G32" s="384"/>
      <c r="H32" s="384"/>
      <c r="I32" s="384"/>
      <c r="J32" s="384"/>
    </row>
    <row r="33" spans="2:10" x14ac:dyDescent="0.25">
      <c r="B33" s="384"/>
      <c r="C33" s="384"/>
      <c r="D33" s="384"/>
      <c r="E33" s="384"/>
      <c r="F33" s="384"/>
      <c r="G33" s="384"/>
      <c r="H33" s="384"/>
      <c r="I33" s="384"/>
      <c r="J33" s="384"/>
    </row>
    <row r="34" spans="2:10" x14ac:dyDescent="0.25">
      <c r="B34" s="384"/>
      <c r="C34" s="384"/>
      <c r="D34" s="384"/>
      <c r="E34" s="384"/>
      <c r="F34" s="384"/>
      <c r="G34" s="384"/>
      <c r="H34" s="384"/>
      <c r="I34" s="384"/>
      <c r="J34" s="384"/>
    </row>
    <row r="35" spans="2:10" x14ac:dyDescent="0.25">
      <c r="B35" s="384"/>
      <c r="C35" s="384"/>
      <c r="D35" s="384"/>
      <c r="E35" s="384"/>
      <c r="F35" s="384"/>
      <c r="G35" s="384"/>
      <c r="H35" s="384"/>
      <c r="I35" s="384"/>
      <c r="J35" s="384"/>
    </row>
    <row r="36" spans="2:10" x14ac:dyDescent="0.25">
      <c r="B36" s="384"/>
      <c r="C36" s="384"/>
      <c r="D36" s="384"/>
      <c r="E36" s="384"/>
      <c r="F36" s="384"/>
      <c r="G36" s="384"/>
      <c r="H36" s="384"/>
      <c r="I36" s="384"/>
      <c r="J36" s="384"/>
    </row>
    <row r="37" spans="2:10" x14ac:dyDescent="0.25">
      <c r="B37" s="384"/>
      <c r="C37" s="384"/>
      <c r="D37" s="384"/>
      <c r="E37" s="384"/>
      <c r="F37" s="384"/>
      <c r="G37" s="384"/>
      <c r="H37" s="384"/>
      <c r="I37" s="384"/>
      <c r="J37" s="384"/>
    </row>
    <row r="38" spans="2:10" x14ac:dyDescent="0.25">
      <c r="B38" s="384"/>
      <c r="C38" s="384"/>
      <c r="D38" s="384"/>
      <c r="E38" s="384"/>
      <c r="F38" s="384"/>
      <c r="G38" s="384"/>
      <c r="H38" s="384"/>
      <c r="I38" s="384"/>
      <c r="J38" s="384"/>
    </row>
    <row r="39" spans="2:10" x14ac:dyDescent="0.25">
      <c r="B39" s="384"/>
      <c r="C39" s="384"/>
      <c r="D39" s="384"/>
      <c r="E39" s="384"/>
      <c r="F39" s="384"/>
      <c r="G39" s="384"/>
      <c r="H39" s="384"/>
      <c r="I39" s="384"/>
      <c r="J39" s="384"/>
    </row>
  </sheetData>
  <mergeCells count="1">
    <mergeCell ref="B29:J39"/>
  </mergeCells>
  <hyperlinks>
    <hyperlink ref="C2" r:id="rId1" xr:uid="{D8C53936-2E0C-4D37-8C8A-234C0959C1B1}"/>
    <hyperlink ref="C3" r:id="rId2" xr:uid="{08AA8E93-31F6-4C23-91D2-2222F25A9D8D}"/>
  </hyperlinks>
  <pageMargins left="0.7" right="0.7" top="0.75" bottom="0.75" header="0.3" footer="0.3"/>
  <pageSetup paperSize="9" orientation="portrait"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D825FF-BDA4-4D6B-9CFD-9A8C91B09B5B}">
  <sheetPr>
    <tabColor rgb="FF44546A"/>
  </sheetPr>
  <dimension ref="B2:AR58"/>
  <sheetViews>
    <sheetView workbookViewId="0">
      <pane xSplit="3" ySplit="3" topLeftCell="N9" activePane="bottomRight" state="frozen"/>
      <selection pane="topRight"/>
      <selection pane="bottomLeft"/>
      <selection pane="bottomRight" activeCell="X17" sqref="X17"/>
    </sheetView>
  </sheetViews>
  <sheetFormatPr defaultRowHeight="15.75" x14ac:dyDescent="0.25"/>
  <cols>
    <col min="1" max="1" width="19.375" customWidth="1"/>
    <col min="2" max="2" width="9" style="14"/>
    <col min="6" max="6" width="9" bestFit="1" customWidth="1"/>
    <col min="12" max="12" width="10.875" customWidth="1"/>
    <col min="13" max="13" width="9.125" bestFit="1" customWidth="1"/>
    <col min="14" max="14" width="80.625" customWidth="1"/>
    <col min="16" max="16" width="9" bestFit="1" customWidth="1"/>
    <col min="26" max="26" width="80.625" customWidth="1"/>
    <col min="28" max="28" width="9" bestFit="1" customWidth="1"/>
    <col min="29" max="29" width="11" customWidth="1"/>
    <col min="34" max="34" width="80.625" customWidth="1"/>
    <col min="38" max="38" width="15.75" customWidth="1"/>
    <col min="40" max="40" width="34.5" customWidth="1"/>
    <col min="41" max="41" width="18.875" customWidth="1"/>
    <col min="42" max="42" width="12.75" customWidth="1"/>
    <col min="43" max="43" width="29.625" customWidth="1"/>
    <col min="44" max="44" width="21.375" customWidth="1"/>
    <col min="45" max="45" width="11.625" customWidth="1"/>
    <col min="46" max="46" width="13.375" customWidth="1"/>
    <col min="53" max="53" width="12.5" customWidth="1"/>
    <col min="54" max="54" width="11.5" customWidth="1"/>
    <col min="55" max="55" width="12.125" customWidth="1"/>
  </cols>
  <sheetData>
    <row r="2" spans="2:40" x14ac:dyDescent="0.25">
      <c r="E2" s="10"/>
      <c r="F2" s="10"/>
      <c r="G2" s="388" t="s">
        <v>554</v>
      </c>
      <c r="H2" s="388"/>
      <c r="I2" s="388"/>
      <c r="J2" s="388"/>
      <c r="K2" s="388"/>
      <c r="L2" s="388"/>
      <c r="M2" s="388"/>
      <c r="N2" s="388"/>
      <c r="Q2" s="389" t="s">
        <v>555</v>
      </c>
      <c r="R2" s="390"/>
      <c r="S2" s="390"/>
      <c r="T2" s="390"/>
      <c r="U2" s="390"/>
      <c r="V2" s="390"/>
      <c r="W2" s="390"/>
      <c r="X2" s="390"/>
      <c r="Y2" s="390"/>
      <c r="Z2" s="391"/>
      <c r="AC2" s="392" t="s">
        <v>556</v>
      </c>
      <c r="AD2" s="393"/>
      <c r="AE2" s="393"/>
      <c r="AF2" s="393"/>
      <c r="AG2" s="393"/>
      <c r="AH2" s="394"/>
      <c r="AJ2" s="385" t="s">
        <v>557</v>
      </c>
      <c r="AK2" s="386"/>
      <c r="AL2" s="387"/>
    </row>
    <row r="3" spans="2:40" s="151" customFormat="1" ht="33.75" x14ac:dyDescent="0.25">
      <c r="B3" s="255" t="s">
        <v>51</v>
      </c>
      <c r="C3" s="255" t="s">
        <v>3</v>
      </c>
      <c r="D3" s="255" t="s">
        <v>1</v>
      </c>
      <c r="F3" s="271" t="s">
        <v>558</v>
      </c>
      <c r="G3" s="272" t="s">
        <v>559</v>
      </c>
      <c r="H3" s="271" t="s">
        <v>560</v>
      </c>
      <c r="I3" s="273" t="s">
        <v>561</v>
      </c>
      <c r="J3" s="269"/>
      <c r="K3" s="273" t="s">
        <v>562</v>
      </c>
      <c r="L3" s="273" t="s">
        <v>563</v>
      </c>
      <c r="M3" s="273" t="s">
        <v>564</v>
      </c>
      <c r="N3" s="274" t="s">
        <v>485</v>
      </c>
      <c r="P3" s="275" t="s">
        <v>565</v>
      </c>
      <c r="Q3" s="276" t="s">
        <v>566</v>
      </c>
      <c r="R3" s="275" t="s">
        <v>567</v>
      </c>
      <c r="S3" s="275" t="s">
        <v>568</v>
      </c>
      <c r="T3" s="275" t="s">
        <v>569</v>
      </c>
      <c r="U3" s="270"/>
      <c r="V3" s="275" t="s">
        <v>570</v>
      </c>
      <c r="W3" s="275" t="s">
        <v>571</v>
      </c>
      <c r="X3" s="275" t="s">
        <v>572</v>
      </c>
      <c r="Y3" s="275" t="s">
        <v>573</v>
      </c>
      <c r="Z3" s="277" t="s">
        <v>485</v>
      </c>
      <c r="AB3" s="275" t="s">
        <v>565</v>
      </c>
      <c r="AC3" s="276" t="s">
        <v>574</v>
      </c>
      <c r="AD3" s="275" t="s">
        <v>575</v>
      </c>
      <c r="AE3" s="275"/>
      <c r="AF3" s="275" t="s">
        <v>576</v>
      </c>
      <c r="AG3" s="275" t="s">
        <v>577</v>
      </c>
      <c r="AH3" s="277" t="s">
        <v>485</v>
      </c>
      <c r="AJ3" s="276" t="s">
        <v>1</v>
      </c>
      <c r="AK3" s="275" t="s">
        <v>578</v>
      </c>
      <c r="AL3" s="277" t="s">
        <v>579</v>
      </c>
    </row>
    <row r="4" spans="2:40" s="11" customFormat="1" ht="63" x14ac:dyDescent="0.25">
      <c r="B4" s="19" t="s">
        <v>255</v>
      </c>
      <c r="C4" s="11">
        <v>2020</v>
      </c>
      <c r="D4" s="11" t="s">
        <v>580</v>
      </c>
      <c r="F4" s="100">
        <f>SUM(G4:H4)</f>
        <v>0.63275380479066134</v>
      </c>
      <c r="G4" s="99">
        <f t="shared" ref="G4:G13" si="0">K4/AL4*1000</f>
        <v>0.18682974185672935</v>
      </c>
      <c r="H4" s="100">
        <f t="shared" ref="H4:H13" si="1">L4/AL4*1000</f>
        <v>0.445924062933932</v>
      </c>
      <c r="I4" s="12">
        <f t="shared" ref="I4:I13" si="2">M4/AL4*1000</f>
        <v>0.78321396167284996</v>
      </c>
      <c r="J4" s="105"/>
      <c r="K4" s="101">
        <v>539321</v>
      </c>
      <c r="L4" s="101">
        <v>1287248</v>
      </c>
      <c r="M4" s="101">
        <v>2260902</v>
      </c>
      <c r="N4" s="102" t="s">
        <v>581</v>
      </c>
      <c r="P4" s="12">
        <f>SUM(Q4:T4)</f>
        <v>8.3029093703465477</v>
      </c>
      <c r="Q4" s="111">
        <f>V4/$AL4*1000000*Parameters!$C$12*Parameters!$C$3</f>
        <v>8.0469109743361855</v>
      </c>
      <c r="R4" s="12">
        <f>W4/$AL4*1000000*Parameters!$C$12*Parameters!$C$5</f>
        <v>9.0726504979923694E-3</v>
      </c>
      <c r="S4" s="12">
        <f>X4/$AL4*1000000*Parameters!$C$12*Parameters!$C$4</f>
        <v>0</v>
      </c>
      <c r="T4" s="12">
        <f>Y4/$AL4*1000000*Parameters!$C$12*Parameters!$C$6</f>
        <v>0.24692574551236959</v>
      </c>
      <c r="U4" s="2"/>
      <c r="V4" s="2">
        <v>2581</v>
      </c>
      <c r="W4" s="2">
        <v>2.91</v>
      </c>
      <c r="X4" s="2"/>
      <c r="Y4" s="2">
        <v>198</v>
      </c>
      <c r="Z4" s="112" t="str">
        <f>'Industries data'!N4</f>
        <v>Scopes in CSR
prod in annual report (90% loading)</v>
      </c>
      <c r="AB4" s="38">
        <f>SUM(AC4:AD4)</f>
        <v>17.043696239069281</v>
      </c>
      <c r="AC4" s="104">
        <f t="shared" ref="AC4:AD10" si="3">AF4/$AL4*1000*1000</f>
        <v>5.6119487616447632</v>
      </c>
      <c r="AD4" s="38">
        <f t="shared" si="3"/>
        <v>11.431747477424517</v>
      </c>
      <c r="AE4" s="2"/>
      <c r="AF4" s="2">
        <f>15500+700</f>
        <v>16200</v>
      </c>
      <c r="AG4" s="2">
        <v>33000</v>
      </c>
      <c r="AH4" s="103" t="s">
        <v>582</v>
      </c>
      <c r="AJ4" s="139" t="s">
        <v>583</v>
      </c>
      <c r="AK4" s="101">
        <v>8902</v>
      </c>
      <c r="AL4" s="102">
        <f>AK4*PI()*103.22*1000</f>
        <v>2886697774.3488994</v>
      </c>
      <c r="AN4" s="11">
        <f>AK4*1000*Parameters!C14</f>
        <v>2886854386.5125918</v>
      </c>
    </row>
    <row r="5" spans="2:40" s="11" customFormat="1" ht="63" x14ac:dyDescent="0.25">
      <c r="B5" s="19" t="s">
        <v>255</v>
      </c>
      <c r="C5" s="11">
        <v>2019</v>
      </c>
      <c r="D5" s="11" t="s">
        <v>580</v>
      </c>
      <c r="F5" s="100">
        <f t="shared" ref="F5:F58" si="4">SUM(G5:H5)</f>
        <v>0.78100458271298412</v>
      </c>
      <c r="G5" s="99">
        <f t="shared" si="0"/>
        <v>0.21878939325942515</v>
      </c>
      <c r="H5" s="100">
        <f t="shared" si="1"/>
        <v>0.56221518945355897</v>
      </c>
      <c r="I5" s="12">
        <f t="shared" si="2"/>
        <v>0.88456045494077573</v>
      </c>
      <c r="J5" s="2"/>
      <c r="K5" s="101">
        <v>512741</v>
      </c>
      <c r="L5" s="101">
        <v>1317572</v>
      </c>
      <c r="M5" s="101">
        <v>2073000</v>
      </c>
      <c r="N5" s="102" t="s">
        <v>581</v>
      </c>
      <c r="O5" s="136"/>
      <c r="P5" s="12">
        <f>SUM(Q5:T5)</f>
        <v>10.780436531492036</v>
      </c>
      <c r="Q5" s="111">
        <f>V5/$AL5*1000000*Parameters!$C$12*Parameters!$C$3</f>
        <v>10.476472884566295</v>
      </c>
      <c r="R5" s="12">
        <f>W5/$AL5*1000000*Parameters!$C$12*Parameters!$C$5</f>
        <v>1.0560960569119249E-2</v>
      </c>
      <c r="S5" s="12">
        <f>X5/$AL5*1000000*Parameters!$C$12*Parameters!$C$4</f>
        <v>0</v>
      </c>
      <c r="T5" s="12">
        <f>Y5/$AL5*1000000*Parameters!$C$12*Parameters!$C$6</f>
        <v>0.29340268635662203</v>
      </c>
      <c r="U5" s="2"/>
      <c r="V5" s="2">
        <v>2728</v>
      </c>
      <c r="W5" s="2">
        <v>2.75</v>
      </c>
      <c r="X5" s="2"/>
      <c r="Y5" s="2">
        <v>191</v>
      </c>
      <c r="Z5" s="112" t="str">
        <f>'Industries data'!N5</f>
        <v>Scopes in CSR
prod in annual report (90% loading)</v>
      </c>
      <c r="AB5" s="38">
        <f t="shared" ref="AB5:AB10" si="5">SUM(AC5:AD5)</f>
        <v>20.685828140192442</v>
      </c>
      <c r="AC5" s="104">
        <f t="shared" si="3"/>
        <v>6.6719668468181244</v>
      </c>
      <c r="AD5" s="38">
        <f t="shared" si="3"/>
        <v>14.013861293374317</v>
      </c>
      <c r="AE5" s="2"/>
      <c r="AF5" s="2">
        <v>15636</v>
      </c>
      <c r="AG5" s="2">
        <v>32842</v>
      </c>
      <c r="AH5" s="103" t="s">
        <v>582</v>
      </c>
      <c r="AJ5" s="139" t="s">
        <v>583</v>
      </c>
      <c r="AK5" s="101">
        <v>7227</v>
      </c>
      <c r="AL5" s="102">
        <f t="shared" ref="AL5:AL25" si="6">AK5*PI()*103.22*1000</f>
        <v>2343536824.895472</v>
      </c>
    </row>
    <row r="6" spans="2:40" s="11" customFormat="1" ht="63" x14ac:dyDescent="0.25">
      <c r="B6" s="19" t="s">
        <v>255</v>
      </c>
      <c r="C6" s="11">
        <v>2018</v>
      </c>
      <c r="D6" s="11" t="s">
        <v>580</v>
      </c>
      <c r="F6" s="100">
        <f t="shared" si="4"/>
        <v>0.84640372120574003</v>
      </c>
      <c r="G6" s="99">
        <f t="shared" si="0"/>
        <v>0.25712411568792093</v>
      </c>
      <c r="H6" s="100">
        <f t="shared" si="1"/>
        <v>0.58927960551781911</v>
      </c>
      <c r="I6" s="12">
        <f t="shared" si="2"/>
        <v>0.84963171731874432</v>
      </c>
      <c r="J6" s="2"/>
      <c r="K6" s="101">
        <v>595576</v>
      </c>
      <c r="L6" s="101">
        <v>1364947</v>
      </c>
      <c r="M6" s="101">
        <v>1968000</v>
      </c>
      <c r="N6" s="102" t="s">
        <v>584</v>
      </c>
      <c r="P6" s="12">
        <f t="shared" ref="P6:P25" si="7">SUM(Q6:T6)</f>
        <v>10.16946997456099</v>
      </c>
      <c r="Q6" s="111">
        <f>V6/$AL6*1000000*Parameters!$C$12*Parameters!$C$3</f>
        <v>9.8458846266114239</v>
      </c>
      <c r="R6" s="12">
        <f>W6/$AL6*1000000*Parameters!$C$12*Parameters!$C$5</f>
        <v>1.1190271398832243E-2</v>
      </c>
      <c r="S6" s="12">
        <f>X6/$AL6*1000000*Parameters!$C$12*Parameters!$C$4</f>
        <v>0</v>
      </c>
      <c r="T6" s="12">
        <f>Y6/$AL6*1000000*Parameters!$C$12*Parameters!$C$6</f>
        <v>0.31239507655073345</v>
      </c>
      <c r="U6" s="2"/>
      <c r="V6" s="2">
        <v>2534</v>
      </c>
      <c r="W6" s="2">
        <v>2.88</v>
      </c>
      <c r="X6" s="2"/>
      <c r="Y6" s="2">
        <v>201</v>
      </c>
      <c r="Z6" s="112" t="str">
        <f>'Industries data'!N6</f>
        <v>Scope in CSR
prod in annual report</v>
      </c>
      <c r="AB6" s="38">
        <f t="shared" si="5"/>
        <v>20.992120235216781</v>
      </c>
      <c r="AC6" s="104">
        <f t="shared" si="3"/>
        <v>6.8290012726361269</v>
      </c>
      <c r="AD6" s="38">
        <f t="shared" si="3"/>
        <v>14.163118962580652</v>
      </c>
      <c r="AE6" s="2"/>
      <c r="AF6" s="2">
        <v>15818</v>
      </c>
      <c r="AG6" s="2">
        <v>32806</v>
      </c>
      <c r="AH6" s="103" t="s">
        <v>582</v>
      </c>
      <c r="AJ6" s="139" t="s">
        <v>583</v>
      </c>
      <c r="AK6" s="101">
        <v>7143</v>
      </c>
      <c r="AL6" s="102">
        <f t="shared" si="6"/>
        <v>2316297708.6243749</v>
      </c>
    </row>
    <row r="7" spans="2:40" s="11" customFormat="1" ht="63" x14ac:dyDescent="0.25">
      <c r="B7" s="19" t="s">
        <v>255</v>
      </c>
      <c r="C7" s="11">
        <v>2017</v>
      </c>
      <c r="D7" s="11" t="s">
        <v>580</v>
      </c>
      <c r="F7" s="100">
        <f t="shared" si="4"/>
        <v>0.87668163772198215</v>
      </c>
      <c r="G7" s="99">
        <f t="shared" si="0"/>
        <v>0.27008207280075458</v>
      </c>
      <c r="H7" s="100">
        <f t="shared" si="1"/>
        <v>0.60659956492122757</v>
      </c>
      <c r="I7" s="12">
        <f t="shared" si="2"/>
        <v>0.99186042319511247</v>
      </c>
      <c r="J7" s="2"/>
      <c r="K7" s="101">
        <v>603958</v>
      </c>
      <c r="L7" s="101">
        <v>1356479</v>
      </c>
      <c r="M7" s="101">
        <v>2218000</v>
      </c>
      <c r="N7" s="102" t="s">
        <v>584</v>
      </c>
      <c r="P7" s="12">
        <f t="shared" si="7"/>
        <v>10.573361795445077</v>
      </c>
      <c r="Q7" s="111">
        <f>V7/$AL7*1000000*Parameters!$C$12*Parameters!$C$3</f>
        <v>10.230740650071137</v>
      </c>
      <c r="R7" s="12">
        <f>W7/$AL7*1000000*Parameters!$C$12*Parameters!$C$5</f>
        <v>1.098738079256263E-2</v>
      </c>
      <c r="S7" s="12">
        <f>X7/$AL7*1000000*Parameters!$C$12*Parameters!$C$4</f>
        <v>0</v>
      </c>
      <c r="T7" s="12">
        <f>Y7/$AL7*1000000*Parameters!$C$12*Parameters!$C$6</f>
        <v>0.3316337645813775</v>
      </c>
      <c r="U7" s="2"/>
      <c r="V7" s="2">
        <v>2542</v>
      </c>
      <c r="W7" s="2">
        <v>2.73</v>
      </c>
      <c r="X7" s="2"/>
      <c r="Y7" s="2">
        <v>206</v>
      </c>
      <c r="Z7" s="112" t="str">
        <f>'Industries data'!N7</f>
        <v>Scope in CSR
prod in annual report</v>
      </c>
      <c r="AB7" s="38">
        <f t="shared" si="5"/>
        <v>21.364351541093999</v>
      </c>
      <c r="AC7" s="104">
        <f t="shared" si="3"/>
        <v>7.0141256707914055</v>
      </c>
      <c r="AD7" s="38">
        <f t="shared" si="3"/>
        <v>14.350225870302594</v>
      </c>
      <c r="AE7" s="2"/>
      <c r="AF7" s="2">
        <v>15685</v>
      </c>
      <c r="AG7" s="2">
        <v>32090</v>
      </c>
      <c r="AH7" s="103" t="s">
        <v>582</v>
      </c>
      <c r="AJ7" s="139" t="s">
        <v>583</v>
      </c>
      <c r="AK7" s="101">
        <v>6896</v>
      </c>
      <c r="AL7" s="102">
        <f t="shared" si="6"/>
        <v>2236201735.7796011</v>
      </c>
    </row>
    <row r="8" spans="2:40" s="11" customFormat="1" ht="63" x14ac:dyDescent="0.25">
      <c r="B8" s="19" t="s">
        <v>255</v>
      </c>
      <c r="C8" s="11">
        <v>2016</v>
      </c>
      <c r="D8" s="11" t="s">
        <v>580</v>
      </c>
      <c r="F8" s="100">
        <f t="shared" si="4"/>
        <v>0.89791502001172496</v>
      </c>
      <c r="G8" s="99">
        <f t="shared" si="0"/>
        <v>0.30684412666369365</v>
      </c>
      <c r="H8" s="100">
        <f t="shared" si="1"/>
        <v>0.59107089334803131</v>
      </c>
      <c r="I8" s="12">
        <f t="shared" si="2"/>
        <v>1.8144105606910874</v>
      </c>
      <c r="J8" s="2"/>
      <c r="K8" s="101">
        <v>615917</v>
      </c>
      <c r="L8" s="101">
        <v>1186435</v>
      </c>
      <c r="M8" s="101">
        <v>3642000</v>
      </c>
      <c r="N8" s="102" t="s">
        <v>584</v>
      </c>
      <c r="P8" s="12">
        <f t="shared" si="7"/>
        <v>10.674069719352611</v>
      </c>
      <c r="Q8" s="111">
        <f>V8/$AL8*1000000*Parameters!$C$12*Parameters!$C$3</f>
        <v>10.267710504075593</v>
      </c>
      <c r="R8" s="12">
        <f>W8/$AL8*1000000*Parameters!$C$12*Parameters!$C$5</f>
        <v>8.2052009705058226E-3</v>
      </c>
      <c r="S8" s="12">
        <f>X8/$AL8*1000000*Parameters!$C$12*Parameters!$C$4</f>
        <v>0</v>
      </c>
      <c r="T8" s="12">
        <f>Y8/$AL8*1000000*Parameters!$C$12*Parameters!$C$6</f>
        <v>0.39815401430651204</v>
      </c>
      <c r="U8" s="2"/>
      <c r="V8" s="2">
        <v>2290</v>
      </c>
      <c r="W8" s="2">
        <v>1.83</v>
      </c>
      <c r="X8" s="2"/>
      <c r="Y8" s="2">
        <v>222</v>
      </c>
      <c r="Z8" s="112" t="str">
        <f>'Industries data'!N8</f>
        <v>Scope in CSR
prod in annual report</v>
      </c>
      <c r="AB8" s="38">
        <f t="shared" si="5"/>
        <v>21.031618953908549</v>
      </c>
      <c r="AC8" s="104">
        <f t="shared" si="3"/>
        <v>7.1420619983710667</v>
      </c>
      <c r="AD8" s="38">
        <f t="shared" si="3"/>
        <v>13.889556955537483</v>
      </c>
      <c r="AE8" s="2"/>
      <c r="AF8" s="2">
        <v>14336</v>
      </c>
      <c r="AG8" s="2">
        <v>27880</v>
      </c>
      <c r="AH8" s="103" t="s">
        <v>582</v>
      </c>
      <c r="AJ8" s="139" t="s">
        <v>583</v>
      </c>
      <c r="AK8" s="101">
        <v>6190</v>
      </c>
      <c r="AL8" s="102">
        <f t="shared" si="6"/>
        <v>2007263449.0249031</v>
      </c>
    </row>
    <row r="9" spans="2:40" s="11" customFormat="1" ht="63" x14ac:dyDescent="0.25">
      <c r="B9" s="19" t="s">
        <v>255</v>
      </c>
      <c r="C9" s="11">
        <v>2015</v>
      </c>
      <c r="D9" s="11" t="s">
        <v>580</v>
      </c>
      <c r="F9" s="100">
        <f t="shared" si="4"/>
        <v>0.92859670202269196</v>
      </c>
      <c r="G9" s="99">
        <f t="shared" si="0"/>
        <v>0.32261588921283069</v>
      </c>
      <c r="H9" s="100">
        <f t="shared" si="1"/>
        <v>0.60598081280986127</v>
      </c>
      <c r="I9" s="12">
        <f t="shared" si="2"/>
        <v>1.3052678758183243</v>
      </c>
      <c r="J9" s="2"/>
      <c r="K9" s="101">
        <v>621421</v>
      </c>
      <c r="L9" s="101">
        <v>1167237</v>
      </c>
      <c r="M9" s="101">
        <v>2514200</v>
      </c>
      <c r="N9" s="102" t="s">
        <v>584</v>
      </c>
      <c r="P9" s="12">
        <f t="shared" si="7"/>
        <v>11.21732426849001</v>
      </c>
      <c r="Q9" s="111">
        <f>V9/$AL9*1000000*Parameters!$C$12*Parameters!$C$3</f>
        <v>10.773210274229893</v>
      </c>
      <c r="R9" s="12">
        <f>W9/$AL9*1000000*Parameters!$C$12*Parameters!$C$5</f>
        <v>8.6439862112700269E-3</v>
      </c>
      <c r="S9" s="12">
        <f>X9/$AL9*1000000*Parameters!$C$12*Parameters!$C$4</f>
        <v>0</v>
      </c>
      <c r="T9" s="12">
        <f>Y9/$AL9*1000000*Parameters!$C$12*Parameters!$C$6</f>
        <v>0.43547000804884672</v>
      </c>
      <c r="U9" s="2"/>
      <c r="V9" s="2">
        <v>2305.6999999999998</v>
      </c>
      <c r="W9" s="2">
        <v>1.85</v>
      </c>
      <c r="X9" s="2"/>
      <c r="Y9" s="2">
        <v>233</v>
      </c>
      <c r="Z9" s="112" t="str">
        <f>'Industries data'!N9</f>
        <v>Scope in CSR
prod in annual report</v>
      </c>
      <c r="AB9" s="38">
        <f t="shared" si="5"/>
        <v>21.594909936575856</v>
      </c>
      <c r="AC9" s="104">
        <f t="shared" si="3"/>
        <v>7.5049528330402104</v>
      </c>
      <c r="AD9" s="38">
        <f t="shared" si="3"/>
        <v>14.089957103535646</v>
      </c>
      <c r="AE9" s="2"/>
      <c r="AF9" s="2">
        <v>14456</v>
      </c>
      <c r="AG9" s="2">
        <v>27140</v>
      </c>
      <c r="AH9" s="103" t="s">
        <v>582</v>
      </c>
      <c r="AJ9" s="139" t="s">
        <v>583</v>
      </c>
      <c r="AK9" s="101">
        <v>5940</v>
      </c>
      <c r="AL9" s="102">
        <f t="shared" si="6"/>
        <v>1926194650.5990183</v>
      </c>
    </row>
    <row r="10" spans="2:40" s="11" customFormat="1" ht="63" x14ac:dyDescent="0.25">
      <c r="B10" s="19" t="s">
        <v>255</v>
      </c>
      <c r="C10" s="11">
        <v>2014</v>
      </c>
      <c r="D10" s="11" t="s">
        <v>580</v>
      </c>
      <c r="F10" s="100">
        <f>SUM(G10:H10)</f>
        <v>1.0141096251506518</v>
      </c>
      <c r="G10" s="99">
        <f t="shared" si="0"/>
        <v>0.34431845897422325</v>
      </c>
      <c r="H10" s="100">
        <f t="shared" si="1"/>
        <v>0.66979116617642853</v>
      </c>
      <c r="I10" s="12">
        <f t="shared" si="2"/>
        <v>0.7879058197243084</v>
      </c>
      <c r="J10" s="2"/>
      <c r="K10" s="101">
        <v>628500</v>
      </c>
      <c r="L10" s="101">
        <v>1222600</v>
      </c>
      <c r="M10" s="101">
        <v>1438200</v>
      </c>
      <c r="N10" s="102" t="s">
        <v>584</v>
      </c>
      <c r="P10" s="12">
        <f t="shared" si="7"/>
        <v>11.999933829340595</v>
      </c>
      <c r="Q10" s="111">
        <f>V10/$AL10*1000000*Parameters!$C$12*Parameters!$C$3</f>
        <v>11.525218107669403</v>
      </c>
      <c r="R10" s="12">
        <f>W10/$AL10*1000000*Parameters!$C$12*Parameters!$C$5</f>
        <v>9.2694802320506878E-3</v>
      </c>
      <c r="S10" s="12">
        <f>X10/$AL10*1000000*Parameters!$C$12*Parameters!$C$4</f>
        <v>0</v>
      </c>
      <c r="T10" s="12">
        <f>Y10/$AL10*1000000*Parameters!$C$12*Parameters!$C$6</f>
        <v>0.46544624143914098</v>
      </c>
      <c r="U10" s="2"/>
      <c r="V10" s="2">
        <v>2337.5</v>
      </c>
      <c r="W10" s="2">
        <v>1.88</v>
      </c>
      <c r="X10" s="2"/>
      <c r="Y10" s="2">
        <v>236</v>
      </c>
      <c r="Z10" s="112" t="str">
        <f>'Industries data'!N10</f>
        <v>Scope in CSR
prod in annual report</v>
      </c>
      <c r="AB10" s="38">
        <f t="shared" si="5"/>
        <v>22.537108616199831</v>
      </c>
      <c r="AC10" s="104">
        <f t="shared" si="3"/>
        <v>8.0521761495674351</v>
      </c>
      <c r="AD10" s="38">
        <f t="shared" si="3"/>
        <v>14.484932466632397</v>
      </c>
      <c r="AE10" s="2"/>
      <c r="AF10" s="2">
        <v>14698</v>
      </c>
      <c r="AG10" s="2">
        <v>26440</v>
      </c>
      <c r="AH10" s="103" t="s">
        <v>582</v>
      </c>
      <c r="AJ10" s="139" t="s">
        <v>583</v>
      </c>
      <c r="AK10" s="101">
        <v>5629</v>
      </c>
      <c r="AL10" s="102">
        <f t="shared" si="6"/>
        <v>1825345065.3572178</v>
      </c>
    </row>
    <row r="11" spans="2:40" s="11" customFormat="1" ht="31.5" x14ac:dyDescent="0.25">
      <c r="B11" s="19" t="s">
        <v>255</v>
      </c>
      <c r="C11" s="11">
        <v>2013</v>
      </c>
      <c r="D11" s="11" t="s">
        <v>580</v>
      </c>
      <c r="F11" s="100">
        <f t="shared" si="4"/>
        <v>1.3555579479750761</v>
      </c>
      <c r="G11" s="99">
        <f t="shared" si="0"/>
        <v>0.36023158293709173</v>
      </c>
      <c r="H11" s="100">
        <f t="shared" si="1"/>
        <v>0.99532636503798433</v>
      </c>
      <c r="I11" s="12">
        <f t="shared" si="2"/>
        <v>0</v>
      </c>
      <c r="J11" s="2"/>
      <c r="K11" s="101">
        <v>587108</v>
      </c>
      <c r="L11" s="101">
        <v>1622190</v>
      </c>
      <c r="M11" s="101"/>
      <c r="N11" s="102" t="s">
        <v>584</v>
      </c>
      <c r="P11" s="12">
        <f t="shared" si="7"/>
        <v>12.400464759246447</v>
      </c>
      <c r="Q11" s="111">
        <f>V11/$AL11*1000000*Parameters!$C$12*Parameters!$C$3</f>
        <v>11.898982842651469</v>
      </c>
      <c r="R11" s="12">
        <f>W11/$AL11*1000000*Parameters!$C$12*Parameters!$C$5</f>
        <v>0</v>
      </c>
      <c r="S11" s="12">
        <f>X11/$AL11*1000000*Parameters!$C$12*Parameters!$C$4</f>
        <v>0</v>
      </c>
      <c r="T11" s="12">
        <f>Y11/$AL11*1000000*Parameters!$C$12*Parameters!$C$6</f>
        <v>0.50148191659497798</v>
      </c>
      <c r="U11" s="2"/>
      <c r="V11" s="2">
        <v>2154.7829999999999</v>
      </c>
      <c r="W11" s="2"/>
      <c r="X11" s="2"/>
      <c r="Y11" s="2">
        <v>227.03299999999999</v>
      </c>
      <c r="Z11" s="112" t="str">
        <f>'Industries data'!N11</f>
        <v>Scope in CSR
prod in annual report</v>
      </c>
      <c r="AB11" s="38"/>
      <c r="AC11" s="104"/>
      <c r="AD11" s="38"/>
      <c r="AE11" s="2"/>
      <c r="AF11" s="2"/>
      <c r="AG11" s="2"/>
      <c r="AH11" s="103"/>
      <c r="AJ11" s="139" t="s">
        <v>583</v>
      </c>
      <c r="AK11" s="101">
        <v>5026</v>
      </c>
      <c r="AL11" s="102">
        <f t="shared" si="6"/>
        <v>1629807123.5539842</v>
      </c>
    </row>
    <row r="12" spans="2:40" s="11" customFormat="1" ht="31.5" x14ac:dyDescent="0.25">
      <c r="B12" s="19" t="s">
        <v>255</v>
      </c>
      <c r="C12" s="11">
        <v>2012</v>
      </c>
      <c r="D12" s="11" t="s">
        <v>580</v>
      </c>
      <c r="F12" s="100">
        <f t="shared" si="4"/>
        <v>1.1506684826242979</v>
      </c>
      <c r="G12" s="99">
        <f t="shared" si="0"/>
        <v>0.38146945361144846</v>
      </c>
      <c r="H12" s="100">
        <f t="shared" si="1"/>
        <v>0.76919902901284931</v>
      </c>
      <c r="I12" s="12">
        <f t="shared" si="2"/>
        <v>0</v>
      </c>
      <c r="J12" s="2"/>
      <c r="K12" s="101">
        <v>560737</v>
      </c>
      <c r="L12" s="101">
        <v>1130676</v>
      </c>
      <c r="M12" s="101"/>
      <c r="N12" s="102" t="s">
        <v>584</v>
      </c>
      <c r="P12" s="12">
        <f t="shared" si="7"/>
        <v>13.275988857500334</v>
      </c>
      <c r="Q12" s="111">
        <f>V12/$AL12*1000000*Parameters!$C$12*Parameters!$C$3</f>
        <v>12.736742973358023</v>
      </c>
      <c r="R12" s="12">
        <f>W12/$AL12*1000000*Parameters!$C$12*Parameters!$C$5</f>
        <v>0</v>
      </c>
      <c r="S12" s="12">
        <f>X12/$AL12*1000000*Parameters!$C$12*Parameters!$C$4</f>
        <v>0</v>
      </c>
      <c r="T12" s="12">
        <f>Y12/$AL12*1000000*Parameters!$C$12*Parameters!$C$6</f>
        <v>0.53924588414230989</v>
      </c>
      <c r="U12" s="2"/>
      <c r="V12" s="2">
        <v>2080.2489999999998</v>
      </c>
      <c r="W12" s="2"/>
      <c r="X12" s="2"/>
      <c r="Y12" s="2">
        <v>220.18299999999999</v>
      </c>
      <c r="Z12" s="112" t="str">
        <f>'Industries data'!N12</f>
        <v>Scope in CSR
prod in annual report</v>
      </c>
      <c r="AB12" s="38"/>
      <c r="AC12" s="104"/>
      <c r="AD12" s="38"/>
      <c r="AE12" s="2"/>
      <c r="AF12" s="2"/>
      <c r="AG12" s="2"/>
      <c r="AH12" s="103"/>
      <c r="AJ12" s="139" t="s">
        <v>583</v>
      </c>
      <c r="AK12" s="101">
        <v>4533</v>
      </c>
      <c r="AL12" s="102">
        <f t="shared" si="6"/>
        <v>1469939453.0581398</v>
      </c>
    </row>
    <row r="13" spans="2:40" s="11" customFormat="1" ht="31.5" x14ac:dyDescent="0.25">
      <c r="B13" s="19" t="s">
        <v>255</v>
      </c>
      <c r="C13" s="11">
        <v>2011</v>
      </c>
      <c r="D13" s="11" t="s">
        <v>580</v>
      </c>
      <c r="F13" s="100">
        <f t="shared" si="4"/>
        <v>1.2723626727708308</v>
      </c>
      <c r="G13" s="99">
        <f t="shared" si="0"/>
        <v>0.42003761917382781</v>
      </c>
      <c r="H13" s="100">
        <f t="shared" si="1"/>
        <v>0.85232505359700295</v>
      </c>
      <c r="I13" s="12">
        <f t="shared" si="2"/>
        <v>0</v>
      </c>
      <c r="J13" s="105"/>
      <c r="K13" s="101">
        <v>595228</v>
      </c>
      <c r="L13" s="101">
        <v>1207815</v>
      </c>
      <c r="M13" s="101"/>
      <c r="N13" s="102" t="s">
        <v>584</v>
      </c>
      <c r="P13" s="12">
        <f t="shared" si="7"/>
        <v>13.251023226581474</v>
      </c>
      <c r="Q13" s="111">
        <f>V13/$AL13*1000000*Parameters!$C$12*Parameters!$C$3</f>
        <v>12.695166848164201</v>
      </c>
      <c r="R13" s="12">
        <f>W13/$AL13*1000000*Parameters!$C$12*Parameters!$C$5</f>
        <v>0</v>
      </c>
      <c r="S13" s="12">
        <f>X13/$AL13*1000000*Parameters!$C$12*Parameters!$C$4</f>
        <v>0</v>
      </c>
      <c r="T13" s="12">
        <f>Y13/$AL13*1000000*Parameters!$C$12*Parameters!$C$6</f>
        <v>0.55585637841727342</v>
      </c>
      <c r="U13" s="2"/>
      <c r="V13" s="2">
        <v>1998.9</v>
      </c>
      <c r="W13" s="2"/>
      <c r="X13" s="2"/>
      <c r="Y13" s="2">
        <v>218.804</v>
      </c>
      <c r="Z13" s="112" t="str">
        <f>'Industries data'!N13</f>
        <v>Scope in CSR
prod in annual report</v>
      </c>
      <c r="AB13" s="38"/>
      <c r="AC13" s="104"/>
      <c r="AD13" s="38"/>
      <c r="AE13" s="2"/>
      <c r="AF13" s="2"/>
      <c r="AG13" s="2"/>
      <c r="AH13" s="103"/>
      <c r="AJ13" s="139" t="s">
        <v>583</v>
      </c>
      <c r="AK13" s="101">
        <v>4370</v>
      </c>
      <c r="AL13" s="102">
        <f t="shared" si="6"/>
        <v>1417082596.484463</v>
      </c>
    </row>
    <row r="14" spans="2:40" s="278" customFormat="1" ht="33.75" x14ac:dyDescent="0.25">
      <c r="B14" s="242"/>
      <c r="F14" s="279"/>
      <c r="G14" s="280" t="s">
        <v>559</v>
      </c>
      <c r="H14" s="279" t="s">
        <v>560</v>
      </c>
      <c r="I14" s="281" t="s">
        <v>561</v>
      </c>
      <c r="J14" s="249"/>
      <c r="K14" s="281" t="s">
        <v>562</v>
      </c>
      <c r="L14" s="281" t="s">
        <v>563</v>
      </c>
      <c r="M14" s="281" t="s">
        <v>564</v>
      </c>
      <c r="N14" s="282" t="s">
        <v>485</v>
      </c>
      <c r="P14" s="281"/>
      <c r="Q14" s="283" t="s">
        <v>566</v>
      </c>
      <c r="R14" s="281" t="s">
        <v>567</v>
      </c>
      <c r="S14" s="281" t="s">
        <v>568</v>
      </c>
      <c r="T14" s="281" t="s">
        <v>569</v>
      </c>
      <c r="U14" s="249"/>
      <c r="V14" s="281" t="s">
        <v>570</v>
      </c>
      <c r="W14" s="281" t="s">
        <v>571</v>
      </c>
      <c r="X14" s="281" t="s">
        <v>572</v>
      </c>
      <c r="Y14" s="281" t="s">
        <v>573</v>
      </c>
      <c r="Z14" s="282" t="s">
        <v>485</v>
      </c>
      <c r="AB14" s="281"/>
      <c r="AC14" s="283" t="s">
        <v>574</v>
      </c>
      <c r="AD14" s="281" t="s">
        <v>575</v>
      </c>
      <c r="AE14" s="281"/>
      <c r="AF14" s="281" t="s">
        <v>576</v>
      </c>
      <c r="AG14" s="281" t="s">
        <v>577</v>
      </c>
      <c r="AH14" s="282" t="s">
        <v>485</v>
      </c>
      <c r="AJ14" s="283"/>
      <c r="AK14" s="281"/>
      <c r="AL14" s="282"/>
    </row>
    <row r="15" spans="2:40" s="11" customFormat="1" ht="31.5" x14ac:dyDescent="0.25">
      <c r="B15" s="19" t="s">
        <v>271</v>
      </c>
      <c r="C15" s="11">
        <v>2020</v>
      </c>
      <c r="D15" s="11" t="s">
        <v>580</v>
      </c>
      <c r="F15" s="100">
        <f t="shared" si="4"/>
        <v>1.1222679186998068</v>
      </c>
      <c r="G15" s="99">
        <f t="shared" ref="G15:G25" si="8">K15/AL15*1000</f>
        <v>0.25189806091767825</v>
      </c>
      <c r="H15" s="100">
        <f t="shared" ref="H15:H25" si="9">L15/AL15*1000</f>
        <v>0.8703698577821285</v>
      </c>
      <c r="I15" s="12">
        <f t="shared" ref="I15:I25" si="10">M15/AL15*1000</f>
        <v>0.64563430983437065</v>
      </c>
      <c r="J15" s="2"/>
      <c r="K15" s="13">
        <v>2150339</v>
      </c>
      <c r="L15" s="13">
        <v>7429951</v>
      </c>
      <c r="M15" s="13">
        <v>5511486</v>
      </c>
      <c r="N15" s="102" t="s">
        <v>585</v>
      </c>
      <c r="P15" s="12">
        <f t="shared" si="7"/>
        <v>17.267174141094781</v>
      </c>
      <c r="Q15" s="111">
        <f>V15/$AL15*1000000*Parameters!$C$12*Parameters!$C$3</f>
        <v>15.603503314702818</v>
      </c>
      <c r="R15" s="12">
        <f>W15/$AL15*1000000*Parameters!$C$12*Parameters!$C$5</f>
        <v>1.2967776403435449</v>
      </c>
      <c r="S15" s="12">
        <f>X15/$AL15*1000000*Parameters!$C$12*Parameters!$C$4</f>
        <v>0</v>
      </c>
      <c r="T15" s="12">
        <f>Y15/$AL15*1000000*Parameters!$C$12*Parameters!$C$6</f>
        <v>0.36689318604841759</v>
      </c>
      <c r="U15" s="2"/>
      <c r="V15" s="2">
        <v>14800</v>
      </c>
      <c r="W15" s="2">
        <v>1230</v>
      </c>
      <c r="X15" s="2"/>
      <c r="Y15" s="2">
        <v>870</v>
      </c>
      <c r="Z15" s="112" t="str">
        <f>'Industries data'!N15</f>
        <v>Scope in CSR
prod in annual report with 90% loading assumption</v>
      </c>
      <c r="AB15" s="38">
        <f>SUM(AC15:AD15)</f>
        <v>28.536136692654701</v>
      </c>
      <c r="AC15" s="104">
        <f t="shared" ref="AC15:AC25" si="11">AF15/$AL15*1000*1000</f>
        <v>8.2703253304656084</v>
      </c>
      <c r="AD15" s="38">
        <f t="shared" ref="AD15:AD25" si="12">AG15/$AL15*1000*1000</f>
        <v>20.265811362189094</v>
      </c>
      <c r="AE15" s="13"/>
      <c r="AF15" s="2">
        <v>70600</v>
      </c>
      <c r="AG15" s="2">
        <v>173000</v>
      </c>
      <c r="AH15" s="112" t="str">
        <f>'Industries data'!N15</f>
        <v>Scope in CSR
prod in annual report with 90% loading assumption</v>
      </c>
      <c r="AJ15" s="139" t="s">
        <v>583</v>
      </c>
      <c r="AK15" s="144">
        <f>26325</f>
        <v>26325</v>
      </c>
      <c r="AL15" s="102">
        <f t="shared" si="6"/>
        <v>8536544474.2456484</v>
      </c>
    </row>
    <row r="16" spans="2:40" s="11" customFormat="1" ht="31.5" x14ac:dyDescent="0.25">
      <c r="B16" s="19" t="s">
        <v>271</v>
      </c>
      <c r="C16" s="11">
        <v>2019</v>
      </c>
      <c r="D16" s="11" t="s">
        <v>580</v>
      </c>
      <c r="F16" s="100">
        <f t="shared" si="4"/>
        <v>1.0340606104584193</v>
      </c>
      <c r="G16" s="99">
        <f t="shared" si="8"/>
        <v>0.20784660514226105</v>
      </c>
      <c r="H16" s="100">
        <f t="shared" si="9"/>
        <v>0.8262140053161583</v>
      </c>
      <c r="I16" s="12">
        <f t="shared" si="10"/>
        <v>0.65706375696420116</v>
      </c>
      <c r="J16" s="2"/>
      <c r="K16" s="13">
        <v>1678753</v>
      </c>
      <c r="L16" s="13">
        <v>6673235</v>
      </c>
      <c r="M16" s="13">
        <v>5307028</v>
      </c>
      <c r="N16" s="102" t="s">
        <v>585</v>
      </c>
      <c r="P16" s="12">
        <f t="shared" si="7"/>
        <v>15.462794069254473</v>
      </c>
      <c r="Q16" s="111">
        <f>V16/$AL16*1000000*Parameters!$C$12*Parameters!$C$3</f>
        <v>14.109153299384595</v>
      </c>
      <c r="R16" s="12">
        <f>W16/$AL16*1000000*Parameters!$C$12*Parameters!$C$5</f>
        <v>1.0229191856606425</v>
      </c>
      <c r="S16" s="12">
        <f>X16/$AL16*1000000*Parameters!$C$12*Parameters!$C$4</f>
        <v>0</v>
      </c>
      <c r="T16" s="12">
        <f>Y16/$AL16*1000000*Parameters!$C$12*Parameters!$C$6</f>
        <v>0.33072158420923614</v>
      </c>
      <c r="U16" s="2"/>
      <c r="V16" s="2">
        <v>12662</v>
      </c>
      <c r="W16" s="2">
        <v>918</v>
      </c>
      <c r="X16" s="2"/>
      <c r="Y16" s="2">
        <v>742</v>
      </c>
      <c r="Z16" s="112" t="str">
        <f>'Industries data'!N16</f>
        <v>Scope in CSR
prod in annual report with 90% loading assumption</v>
      </c>
      <c r="AB16" s="38">
        <f t="shared" ref="AB16:AB25" si="13">SUM(AC16:AD16)</f>
        <v>23.722018394163538</v>
      </c>
      <c r="AC16" s="104">
        <f t="shared" si="11"/>
        <v>7.18098677902654</v>
      </c>
      <c r="AD16" s="38">
        <f t="shared" si="12"/>
        <v>16.541031615136998</v>
      </c>
      <c r="AE16" s="13"/>
      <c r="AF16" s="2">
        <v>58000</v>
      </c>
      <c r="AG16" s="2">
        <v>133600</v>
      </c>
      <c r="AH16" s="112" t="str">
        <f>'Industries data'!N16</f>
        <v>Scope in CSR
prod in annual report with 90% loading assumption</v>
      </c>
      <c r="AJ16" s="139" t="s">
        <v>583</v>
      </c>
      <c r="AK16" s="13">
        <v>24907.5</v>
      </c>
      <c r="AL16" s="102">
        <f t="shared" si="6"/>
        <v>8076884387.1708841</v>
      </c>
    </row>
    <row r="17" spans="2:44" s="11" customFormat="1" ht="31.5" x14ac:dyDescent="0.25">
      <c r="B17" s="19" t="s">
        <v>271</v>
      </c>
      <c r="C17" s="11">
        <v>2018</v>
      </c>
      <c r="D17" s="11" t="s">
        <v>580</v>
      </c>
      <c r="F17" s="100">
        <f t="shared" si="4"/>
        <v>1.0192629398133077</v>
      </c>
      <c r="G17" s="99">
        <f t="shared" si="8"/>
        <v>0.21646832691787657</v>
      </c>
      <c r="H17" s="100">
        <f t="shared" si="9"/>
        <v>0.80279461289543108</v>
      </c>
      <c r="I17" s="12">
        <f t="shared" si="10"/>
        <v>0.54765974266339512</v>
      </c>
      <c r="J17" s="2"/>
      <c r="K17" s="13">
        <v>1705746</v>
      </c>
      <c r="L17" s="13">
        <v>6325931</v>
      </c>
      <c r="M17" s="13">
        <v>4315497</v>
      </c>
      <c r="N17" s="102" t="s">
        <v>585</v>
      </c>
      <c r="P17" s="12">
        <f t="shared" si="7"/>
        <v>14.538862929190962</v>
      </c>
      <c r="Q17" s="111">
        <f>V17/$AL17*1000000*Parameters!$C$12*Parameters!$C$3</f>
        <v>13.207803267488199</v>
      </c>
      <c r="R17" s="12">
        <f>W17/$AL17*1000000*Parameters!$C$12*Parameters!$C$5</f>
        <v>1.0016640838453086</v>
      </c>
      <c r="S17" s="12">
        <f>X17/$AL17*1000000*Parameters!$C$12*Parameters!$C$4</f>
        <v>0</v>
      </c>
      <c r="T17" s="12">
        <f>Y17/$AL17*1000000*Parameters!$C$12*Parameters!$C$6</f>
        <v>0.32939557785745383</v>
      </c>
      <c r="U17" s="2"/>
      <c r="V17" s="2">
        <v>11564</v>
      </c>
      <c r="W17" s="2">
        <v>877</v>
      </c>
      <c r="X17" s="2"/>
      <c r="Y17" s="2">
        <v>721</v>
      </c>
      <c r="Z17" s="112" t="str">
        <f>'Industries data'!N17</f>
        <v>Scope in CSR
prod in annual report with 90% loading assumption</v>
      </c>
      <c r="AB17" s="38">
        <f t="shared" si="13"/>
        <v>22.842966564317187</v>
      </c>
      <c r="AC17" s="104">
        <f t="shared" si="11"/>
        <v>6.4721738598898702</v>
      </c>
      <c r="AD17" s="38">
        <f t="shared" si="12"/>
        <v>16.370792704427316</v>
      </c>
      <c r="AE17" s="13"/>
      <c r="AF17" s="2">
        <v>51000</v>
      </c>
      <c r="AG17" s="2">
        <v>129000</v>
      </c>
      <c r="AH17" s="112" t="str">
        <f>'Industries data'!N17</f>
        <v>Scope in CSR
prod in annual report with 90% loading assumption</v>
      </c>
      <c r="AJ17" s="139" t="s">
        <v>583</v>
      </c>
      <c r="AK17" s="13">
        <v>24300</v>
      </c>
      <c r="AL17" s="102">
        <f t="shared" si="6"/>
        <v>7879887206.9959841</v>
      </c>
    </row>
    <row r="18" spans="2:44" s="11" customFormat="1" ht="31.5" x14ac:dyDescent="0.25">
      <c r="B18" s="19" t="s">
        <v>271</v>
      </c>
      <c r="C18" s="11">
        <v>2017</v>
      </c>
      <c r="D18" s="11" t="s">
        <v>580</v>
      </c>
      <c r="F18" s="100">
        <f t="shared" si="4"/>
        <v>1.0162437110866502</v>
      </c>
      <c r="G18" s="99">
        <f t="shared" si="8"/>
        <v>0.22677541953725047</v>
      </c>
      <c r="H18" s="100">
        <f t="shared" si="9"/>
        <v>0.78946829154939968</v>
      </c>
      <c r="I18" s="12">
        <f t="shared" si="10"/>
        <v>0.58734403243280908</v>
      </c>
      <c r="J18" s="2"/>
      <c r="K18" s="13">
        <v>1638051</v>
      </c>
      <c r="L18" s="13">
        <v>5702511</v>
      </c>
      <c r="M18" s="13">
        <v>4242521</v>
      </c>
      <c r="N18" s="102" t="s">
        <v>585</v>
      </c>
      <c r="P18" s="12">
        <f t="shared" si="7"/>
        <v>14.500216783030785</v>
      </c>
      <c r="Q18" s="111">
        <f>V18/$AL18*1000000*Parameters!$C$12*Parameters!$C$3</f>
        <v>14.064622176982496</v>
      </c>
      <c r="R18" s="12">
        <f>W18/$AL18*1000000*Parameters!$C$12*Parameters!$C$5</f>
        <v>0.12459799944173011</v>
      </c>
      <c r="S18" s="12">
        <f>X18/$AL18*1000000*Parameters!$C$12*Parameters!$C$4</f>
        <v>0</v>
      </c>
      <c r="T18" s="12">
        <f>Y18/$AL18*1000000*Parameters!$C$12*Parameters!$C$6</f>
        <v>0.31099660660655831</v>
      </c>
      <c r="U18" s="2"/>
      <c r="V18" s="2">
        <v>11288</v>
      </c>
      <c r="W18" s="2">
        <v>100</v>
      </c>
      <c r="X18" s="2"/>
      <c r="Y18" s="2">
        <v>624</v>
      </c>
      <c r="Z18" s="112" t="str">
        <f>'Industries data'!N18</f>
        <v>Scope in CSR
prod in annual report with 90% loading assumption</v>
      </c>
      <c r="AB18" s="38">
        <f t="shared" si="13"/>
        <v>20.572514130045658</v>
      </c>
      <c r="AC18" s="104">
        <f t="shared" si="11"/>
        <v>6.2575884164068896</v>
      </c>
      <c r="AD18" s="38">
        <f t="shared" si="12"/>
        <v>14.314925713638768</v>
      </c>
      <c r="AE18" s="13"/>
      <c r="AF18" s="2">
        <v>45200</v>
      </c>
      <c r="AG18" s="2">
        <v>103400</v>
      </c>
      <c r="AH18" s="112" t="str">
        <f>'Industries data'!N18</f>
        <v>Scope in CSR
prod in annual report with 90% loading assumption</v>
      </c>
      <c r="AJ18" s="139" t="s">
        <v>583</v>
      </c>
      <c r="AK18" s="13">
        <v>22275</v>
      </c>
      <c r="AL18" s="102">
        <f t="shared" si="6"/>
        <v>7223229939.7463188</v>
      </c>
    </row>
    <row r="19" spans="2:44" s="11" customFormat="1" ht="31.5" x14ac:dyDescent="0.25">
      <c r="B19" s="19" t="s">
        <v>271</v>
      </c>
      <c r="C19" s="11">
        <v>2016</v>
      </c>
      <c r="D19" s="11" t="s">
        <v>580</v>
      </c>
      <c r="F19" s="100">
        <f t="shared" si="4"/>
        <v>1.0171082135394434</v>
      </c>
      <c r="G19" s="99">
        <f t="shared" si="8"/>
        <v>0.25100887208689304</v>
      </c>
      <c r="H19" s="100">
        <f t="shared" si="9"/>
        <v>0.76609934145255043</v>
      </c>
      <c r="I19" s="12">
        <f t="shared" si="10"/>
        <v>0.57425877821988303</v>
      </c>
      <c r="J19" s="2"/>
      <c r="K19" s="13">
        <v>1648268</v>
      </c>
      <c r="L19" s="13">
        <v>5030647</v>
      </c>
      <c r="M19" s="13">
        <v>3770912</v>
      </c>
      <c r="N19" s="102" t="s">
        <v>585</v>
      </c>
      <c r="P19" s="12">
        <f t="shared" si="7"/>
        <v>13.091760997341465</v>
      </c>
      <c r="Q19" s="111">
        <f>V19/$AL19*1000000*Parameters!$C$12*Parameters!$C$3</f>
        <v>12.551753267761008</v>
      </c>
      <c r="R19" s="12">
        <f>W19/$AL19*1000000*Parameters!$C$12*Parameters!$C$5</f>
        <v>0.27411559877180625</v>
      </c>
      <c r="S19" s="12">
        <f>X19/$AL19*1000000*Parameters!$C$12*Parameters!$C$4</f>
        <v>0</v>
      </c>
      <c r="T19" s="12">
        <f>Y19/$AL19*1000000*Parameters!$C$12*Parameters!$C$6</f>
        <v>0.26589213080865204</v>
      </c>
      <c r="U19" s="2"/>
      <c r="V19" s="2">
        <v>9158</v>
      </c>
      <c r="W19" s="2">
        <v>200</v>
      </c>
      <c r="X19" s="2"/>
      <c r="Y19" s="2">
        <v>485</v>
      </c>
      <c r="Z19" s="112" t="str">
        <f>'Industries data'!N19</f>
        <v>Scope in CSR
prod in annual report with 90% loading assumption</v>
      </c>
      <c r="AB19" s="38">
        <f t="shared" si="13"/>
        <v>20.238868375985028</v>
      </c>
      <c r="AC19" s="104">
        <f t="shared" si="11"/>
        <v>5.8782567292176218</v>
      </c>
      <c r="AD19" s="38">
        <f t="shared" si="12"/>
        <v>14.360611646767405</v>
      </c>
      <c r="AE19" s="13"/>
      <c r="AF19" s="2">
        <v>38600</v>
      </c>
      <c r="AG19" s="2">
        <v>94300</v>
      </c>
      <c r="AH19" s="112" t="str">
        <f>'Industries data'!N19</f>
        <v>Scope in CSR
prod in annual report with 90% loading assumption</v>
      </c>
      <c r="AJ19" s="139" t="s">
        <v>583</v>
      </c>
      <c r="AK19" s="13">
        <v>20250</v>
      </c>
      <c r="AL19" s="102">
        <f>AK19*PI()*103.22*1000</f>
        <v>6566572672.4966536</v>
      </c>
    </row>
    <row r="20" spans="2:44" s="11" customFormat="1" ht="31.5" x14ac:dyDescent="0.25">
      <c r="B20" s="19" t="s">
        <v>271</v>
      </c>
      <c r="C20" s="11">
        <v>2015</v>
      </c>
      <c r="D20" s="11" t="s">
        <v>580</v>
      </c>
      <c r="F20" s="100">
        <f t="shared" si="4"/>
        <v>0.99534893422965343</v>
      </c>
      <c r="G20" s="99">
        <f t="shared" si="8"/>
        <v>0.26509042728582433</v>
      </c>
      <c r="H20" s="100">
        <f t="shared" si="9"/>
        <v>0.7302585069438291</v>
      </c>
      <c r="I20" s="12">
        <f t="shared" si="10"/>
        <v>0.58311122303720664</v>
      </c>
      <c r="J20" s="2"/>
      <c r="K20" s="13">
        <v>1566662</v>
      </c>
      <c r="L20" s="13">
        <v>4315766</v>
      </c>
      <c r="M20" s="13">
        <v>3446138</v>
      </c>
      <c r="N20" s="102" t="s">
        <v>585</v>
      </c>
      <c r="P20" s="12">
        <f t="shared" si="7"/>
        <v>13.1575487410467</v>
      </c>
      <c r="Q20" s="111">
        <f>V20/$AL20*1000000*Parameters!$C$12*Parameters!$C$3</f>
        <v>12.731146698512779</v>
      </c>
      <c r="R20" s="12">
        <f>W20/$AL20*1000000*Parameters!$C$12*Parameters!$C$5</f>
        <v>0.15228644376211456</v>
      </c>
      <c r="S20" s="12">
        <f>X20/$AL20*1000000*Parameters!$C$12*Parameters!$C$4</f>
        <v>0</v>
      </c>
      <c r="T20" s="12">
        <f>Y20/$AL20*1000000*Parameters!$C$12*Parameters!$C$6</f>
        <v>0.27411559877180619</v>
      </c>
      <c r="U20" s="2"/>
      <c r="V20" s="2">
        <v>8360</v>
      </c>
      <c r="W20" s="2">
        <v>100</v>
      </c>
      <c r="X20" s="2"/>
      <c r="Y20" s="2">
        <v>450</v>
      </c>
      <c r="Z20" s="112" t="str">
        <f>'Industries data'!N20</f>
        <v>Scope in CSR
prod in annual report with 90% loading assumption</v>
      </c>
      <c r="AB20" s="38">
        <f t="shared" si="13"/>
        <v>20.220255588414101</v>
      </c>
      <c r="AC20" s="104">
        <f t="shared" si="11"/>
        <v>5.753043431013217</v>
      </c>
      <c r="AD20" s="38">
        <f t="shared" si="12"/>
        <v>14.467212157400883</v>
      </c>
      <c r="AE20" s="13"/>
      <c r="AF20" s="2">
        <v>34000</v>
      </c>
      <c r="AG20" s="2">
        <v>85500</v>
      </c>
      <c r="AH20" s="112" t="str">
        <f>'Industries data'!N20</f>
        <v>Scope in CSR
prod in annual report with 90% loading assumption</v>
      </c>
      <c r="AJ20" s="139" t="s">
        <v>583</v>
      </c>
      <c r="AK20" s="13">
        <v>18225</v>
      </c>
      <c r="AL20" s="102">
        <f t="shared" si="6"/>
        <v>5909915405.2469883</v>
      </c>
    </row>
    <row r="21" spans="2:44" s="11" customFormat="1" ht="31.5" x14ac:dyDescent="0.25">
      <c r="B21" s="19" t="s">
        <v>271</v>
      </c>
      <c r="C21" s="11">
        <v>2014</v>
      </c>
      <c r="D21" s="11" t="s">
        <v>580</v>
      </c>
      <c r="F21" s="100">
        <f t="shared" si="4"/>
        <v>1.0649904979032367</v>
      </c>
      <c r="G21" s="99">
        <f t="shared" si="8"/>
        <v>0.31513737884411641</v>
      </c>
      <c r="H21" s="100">
        <f t="shared" si="9"/>
        <v>0.74985311905912044</v>
      </c>
      <c r="I21" s="12">
        <f t="shared" si="10"/>
        <v>0</v>
      </c>
      <c r="J21" s="2"/>
      <c r="K21" s="13">
        <v>1655498</v>
      </c>
      <c r="L21" s="13">
        <v>3939172</v>
      </c>
      <c r="M21" s="13"/>
      <c r="N21" s="102" t="s">
        <v>585</v>
      </c>
      <c r="P21" s="12">
        <f t="shared" si="7"/>
        <v>12.435596782781454</v>
      </c>
      <c r="Q21" s="111">
        <f>V21/$AL21*1000000*Parameters!$C$12*Parameters!$C$3</f>
        <v>12.14503424808334</v>
      </c>
      <c r="R21" s="12">
        <f>W21/$AL21*1000000*Parameters!$C$12*Parameters!$C$5</f>
        <v>0</v>
      </c>
      <c r="S21" s="12">
        <f>X21/$AL21*1000000*Parameters!$C$12*Parameters!$C$4</f>
        <v>0</v>
      </c>
      <c r="T21" s="12">
        <f>Y21/$AL21*1000000*Parameters!$C$12*Parameters!$C$6</f>
        <v>0.29056253469811461</v>
      </c>
      <c r="U21" s="2"/>
      <c r="V21" s="2">
        <v>7089</v>
      </c>
      <c r="W21" s="2"/>
      <c r="X21" s="2"/>
      <c r="Y21" s="2">
        <v>424</v>
      </c>
      <c r="Z21" s="112" t="str">
        <f>'Industries data'!N21</f>
        <v>Scope in CSR
prod in annual report with 90% loading assumption</v>
      </c>
      <c r="AB21" s="38">
        <f t="shared" si="13"/>
        <v>17.345425944504846</v>
      </c>
      <c r="AC21" s="104">
        <f t="shared" si="11"/>
        <v>6.643496109122248</v>
      </c>
      <c r="AD21" s="38">
        <f t="shared" si="12"/>
        <v>10.7019298353826</v>
      </c>
      <c r="AE21" s="13"/>
      <c r="AF21" s="2">
        <v>34900</v>
      </c>
      <c r="AG21" s="2">
        <v>56220</v>
      </c>
      <c r="AH21" s="112" t="str">
        <f>'Industries data'!N21</f>
        <v>Scope in CSR
prod in annual report with 90% loading assumption</v>
      </c>
      <c r="AJ21" s="139" t="s">
        <v>583</v>
      </c>
      <c r="AK21" s="13">
        <v>16200</v>
      </c>
      <c r="AL21" s="102">
        <f t="shared" si="6"/>
        <v>5253258137.997323</v>
      </c>
    </row>
    <row r="22" spans="2:44" s="11" customFormat="1" ht="31.5" x14ac:dyDescent="0.25">
      <c r="B22" s="19" t="s">
        <v>271</v>
      </c>
      <c r="C22" s="11">
        <v>2013</v>
      </c>
      <c r="D22" s="11" t="s">
        <v>580</v>
      </c>
      <c r="F22" s="100">
        <f t="shared" si="4"/>
        <v>0.91625954066912629</v>
      </c>
      <c r="G22" s="99">
        <f t="shared" si="8"/>
        <v>0.28411991254542418</v>
      </c>
      <c r="H22" s="100">
        <f t="shared" si="9"/>
        <v>0.63213962812370217</v>
      </c>
      <c r="I22" s="12">
        <f t="shared" si="10"/>
        <v>0</v>
      </c>
      <c r="J22" s="2"/>
      <c r="K22" s="13">
        <v>1443218</v>
      </c>
      <c r="L22" s="13">
        <v>3211022</v>
      </c>
      <c r="M22" s="13"/>
      <c r="N22" s="102" t="s">
        <v>585</v>
      </c>
      <c r="P22" s="12">
        <f t="shared" si="7"/>
        <v>10.508132101955225</v>
      </c>
      <c r="Q22" s="111">
        <f>V22/$AL22*1000000*Parameters!$C$12*Parameters!$C$3</f>
        <v>10.244489750709029</v>
      </c>
      <c r="R22" s="12">
        <f>W22/$AL22*1000000*Parameters!$C$12*Parameters!$C$5</f>
        <v>0</v>
      </c>
      <c r="S22" s="12">
        <f>X22/$AL22*1000000*Parameters!$C$12*Parameters!$C$4</f>
        <v>0</v>
      </c>
      <c r="T22" s="12">
        <f>Y22/$AL22*1000000*Parameters!$C$12*Parameters!$C$6</f>
        <v>0.26364235124619573</v>
      </c>
      <c r="U22" s="2"/>
      <c r="V22" s="2">
        <v>5782</v>
      </c>
      <c r="W22" s="2"/>
      <c r="X22" s="2"/>
      <c r="Y22" s="2">
        <v>372</v>
      </c>
      <c r="Z22" s="112" t="str">
        <f>'Industries data'!N22</f>
        <v>Scope in CSR
prod in annual report with 90% loading assumption</v>
      </c>
      <c r="AB22" s="38">
        <f>SUM(AC22:AD22)</f>
        <v>16.129194920550191</v>
      </c>
      <c r="AC22" s="104">
        <f t="shared" si="11"/>
        <v>5.8469069832825671</v>
      </c>
      <c r="AD22" s="38">
        <f t="shared" si="12"/>
        <v>10.282287937267625</v>
      </c>
      <c r="AE22" s="13"/>
      <c r="AF22" s="2">
        <v>29700</v>
      </c>
      <c r="AG22" s="2">
        <v>52230</v>
      </c>
      <c r="AH22" s="112" t="str">
        <f>'Industries data'!N22</f>
        <v>Scope in CSR
prod in annual report with 90% loading assumption</v>
      </c>
      <c r="AJ22" s="139" t="s">
        <v>583</v>
      </c>
      <c r="AK22" s="13">
        <v>15664.5</v>
      </c>
      <c r="AL22" s="102">
        <f t="shared" si="6"/>
        <v>5079608771.7690773</v>
      </c>
    </row>
    <row r="23" spans="2:44" s="11" customFormat="1" ht="31.5" x14ac:dyDescent="0.25">
      <c r="B23" s="19" t="s">
        <v>271</v>
      </c>
      <c r="C23" s="11">
        <v>2012</v>
      </c>
      <c r="D23" s="11" t="s">
        <v>580</v>
      </c>
      <c r="F23" s="100">
        <f t="shared" si="4"/>
        <v>0.86233696539438887</v>
      </c>
      <c r="G23" s="99">
        <f t="shared" si="8"/>
        <v>0.27637122403895714</v>
      </c>
      <c r="H23" s="100">
        <f t="shared" si="9"/>
        <v>0.58596574135543178</v>
      </c>
      <c r="I23" s="12">
        <f t="shared" si="10"/>
        <v>0</v>
      </c>
      <c r="J23" s="2"/>
      <c r="K23" s="13">
        <v>1291662</v>
      </c>
      <c r="L23" s="13">
        <v>2738598</v>
      </c>
      <c r="M23" s="13"/>
      <c r="N23" s="102" t="s">
        <v>585</v>
      </c>
      <c r="P23" s="12">
        <f t="shared" si="7"/>
        <v>10.019751898155645</v>
      </c>
      <c r="Q23" s="111">
        <f>V23/$AL23*1000000*Parameters!$C$12*Parameters!$C$3</f>
        <v>9.7671013275379437</v>
      </c>
      <c r="R23" s="12">
        <f>W23/$AL23*1000000*Parameters!$C$12*Parameters!$C$5</f>
        <v>0</v>
      </c>
      <c r="S23" s="12">
        <f>X23/$AL23*1000000*Parameters!$C$12*Parameters!$C$4</f>
        <v>0</v>
      </c>
      <c r="T23" s="12">
        <f>Y23/$AL23*1000000*Parameters!$C$12*Parameters!$C$6</f>
        <v>0.25265057061770074</v>
      </c>
      <c r="U23" s="2"/>
      <c r="V23" s="2">
        <v>5072</v>
      </c>
      <c r="W23" s="2"/>
      <c r="X23" s="2"/>
      <c r="Y23" s="2">
        <v>328</v>
      </c>
      <c r="Z23" s="112" t="str">
        <f>'Industries data'!N23</f>
        <v>Scope in CSR
prod in annual report with 90% loading assumption</v>
      </c>
      <c r="AB23" s="38">
        <f t="shared" si="13"/>
        <v>16.939655890754885</v>
      </c>
      <c r="AC23" s="104">
        <f t="shared" si="11"/>
        <v>5.5203122645127696</v>
      </c>
      <c r="AD23" s="38">
        <f t="shared" si="12"/>
        <v>11.419343626242114</v>
      </c>
      <c r="AE23" s="13"/>
      <c r="AF23" s="2">
        <v>25800</v>
      </c>
      <c r="AG23" s="2">
        <v>53370</v>
      </c>
      <c r="AH23" s="112" t="str">
        <f>'Industries data'!N23</f>
        <v>Scope in CSR
prod in annual report with 90% loading assumption</v>
      </c>
      <c r="AJ23" s="139" t="s">
        <v>583</v>
      </c>
      <c r="AK23" s="13">
        <v>14412.6</v>
      </c>
      <c r="AL23" s="102">
        <f t="shared" si="6"/>
        <v>4673648656.7716188</v>
      </c>
    </row>
    <row r="24" spans="2:44" s="11" customFormat="1" ht="31.5" x14ac:dyDescent="0.25">
      <c r="B24" s="19" t="s">
        <v>271</v>
      </c>
      <c r="C24" s="11">
        <v>2011</v>
      </c>
      <c r="D24" s="11" t="s">
        <v>580</v>
      </c>
      <c r="F24" s="100">
        <f t="shared" si="4"/>
        <v>0.83351611379294455</v>
      </c>
      <c r="G24" s="99">
        <f t="shared" si="8"/>
        <v>0.25795359466418677</v>
      </c>
      <c r="H24" s="100">
        <f t="shared" si="9"/>
        <v>0.57556251912875778</v>
      </c>
      <c r="I24" s="12">
        <f t="shared" si="10"/>
        <v>0</v>
      </c>
      <c r="J24" s="2"/>
      <c r="K24" s="13">
        <v>1051254</v>
      </c>
      <c r="L24" s="13">
        <v>2345625</v>
      </c>
      <c r="M24" s="13"/>
      <c r="N24" s="102" t="s">
        <v>585</v>
      </c>
      <c r="P24" s="12">
        <f t="shared" si="7"/>
        <v>9.958970690697539</v>
      </c>
      <c r="Q24" s="111">
        <f>V24/$AL24*1000000*Parameters!$C$12*Parameters!$C$3</f>
        <v>9.6771796981188167</v>
      </c>
      <c r="R24" s="12">
        <f>W24/$AL24*1000000*Parameters!$C$12*Parameters!$C$5</f>
        <v>0</v>
      </c>
      <c r="S24" s="12">
        <f>X24/$AL24*1000000*Parameters!$C$12*Parameters!$C$4</f>
        <v>0</v>
      </c>
      <c r="T24" s="12">
        <f>Y24/$AL24*1000000*Parameters!$C$12*Parameters!$C$6</f>
        <v>0.28179099257872225</v>
      </c>
      <c r="U24" s="2"/>
      <c r="V24" s="2">
        <v>4382</v>
      </c>
      <c r="W24" s="2"/>
      <c r="X24" s="2"/>
      <c r="Y24" s="2">
        <v>319</v>
      </c>
      <c r="Z24" s="112" t="str">
        <f>'Industries data'!N24</f>
        <v>Scope in CSR
prod in annual report with 90% loading assumption</v>
      </c>
      <c r="AB24" s="38">
        <f t="shared" si="13"/>
        <v>15.220737782704756</v>
      </c>
      <c r="AC24" s="104">
        <f t="shared" si="11"/>
        <v>5.9626620686720226</v>
      </c>
      <c r="AD24" s="38">
        <f t="shared" si="12"/>
        <v>9.2580757140327332</v>
      </c>
      <c r="AE24" s="13"/>
      <c r="AF24" s="2">
        <v>24300</v>
      </c>
      <c r="AG24" s="2">
        <v>37730</v>
      </c>
      <c r="AH24" s="112" t="str">
        <f>'Industries data'!N24</f>
        <v>Scope in CSR
prod in annual report with 90% loading assumption</v>
      </c>
      <c r="AJ24" s="139" t="s">
        <v>583</v>
      </c>
      <c r="AK24" s="13">
        <v>12567.6</v>
      </c>
      <c r="AL24" s="102">
        <f t="shared" si="6"/>
        <v>4075360924.3885903</v>
      </c>
    </row>
    <row r="25" spans="2:44" s="11" customFormat="1" ht="31.5" x14ac:dyDescent="0.25">
      <c r="B25" s="19" t="s">
        <v>271</v>
      </c>
      <c r="C25" s="11">
        <v>2010</v>
      </c>
      <c r="D25" s="11" t="s">
        <v>580</v>
      </c>
      <c r="F25" s="100">
        <f t="shared" si="4"/>
        <v>0.88796285975996825</v>
      </c>
      <c r="G25" s="99">
        <f t="shared" si="8"/>
        <v>0.32375939439610263</v>
      </c>
      <c r="H25" s="100">
        <f t="shared" si="9"/>
        <v>0.56420346536386567</v>
      </c>
      <c r="I25" s="12">
        <f t="shared" si="10"/>
        <v>0</v>
      </c>
      <c r="J25" s="2"/>
      <c r="K25" s="13">
        <v>1175625</v>
      </c>
      <c r="L25" s="13">
        <v>2048718</v>
      </c>
      <c r="M25" s="13"/>
      <c r="N25" s="102" t="s">
        <v>585</v>
      </c>
      <c r="P25" s="12">
        <f t="shared" si="7"/>
        <v>9.9032576937727672</v>
      </c>
      <c r="Q25" s="111">
        <f>V25/$AL25*1000000*Parameters!$C$12*Parameters!$C$3</f>
        <v>9.6266525384456472</v>
      </c>
      <c r="R25" s="12">
        <f>W25/$AL25*1000000*Parameters!$C$12*Parameters!$C$5</f>
        <v>0</v>
      </c>
      <c r="S25" s="12">
        <f>X25/$AL25*1000000*Parameters!$C$12*Parameters!$C$4</f>
        <v>0</v>
      </c>
      <c r="T25" s="12">
        <f>Y25/$AL25*1000000*Parameters!$C$12*Parameters!$C$6</f>
        <v>0.27660515532712004</v>
      </c>
      <c r="U25" s="2"/>
      <c r="V25" s="2">
        <v>3884</v>
      </c>
      <c r="W25" s="2"/>
      <c r="X25" s="2"/>
      <c r="Y25" s="2">
        <v>279</v>
      </c>
      <c r="Z25" s="112" t="str">
        <f>'Industries data'!N25</f>
        <v>Scope in CSR
prod in annual report with 90% loading assumption</v>
      </c>
      <c r="AB25" s="38">
        <f t="shared" si="13"/>
        <v>15.686409445870925</v>
      </c>
      <c r="AC25" s="104">
        <f t="shared" si="11"/>
        <v>6.1412733610063492</v>
      </c>
      <c r="AD25" s="38">
        <f t="shared" si="12"/>
        <v>9.545136084864577</v>
      </c>
      <c r="AE25" s="13"/>
      <c r="AF25" s="2">
        <v>22300</v>
      </c>
      <c r="AG25" s="2">
        <v>34660</v>
      </c>
      <c r="AH25" s="112" t="str">
        <f>'Industries data'!N25</f>
        <v>Scope in CSR
prod in annual report with 90% loading assumption</v>
      </c>
      <c r="AJ25" s="139" t="s">
        <v>583</v>
      </c>
      <c r="AK25" s="13">
        <v>11197.8</v>
      </c>
      <c r="AL25" s="102">
        <f t="shared" si="6"/>
        <v>3631168764.0534825</v>
      </c>
    </row>
    <row r="26" spans="2:44" s="278" customFormat="1" ht="33.75" x14ac:dyDescent="0.25">
      <c r="B26" s="242"/>
      <c r="F26" s="279"/>
      <c r="G26" s="280" t="s">
        <v>559</v>
      </c>
      <c r="H26" s="279" t="s">
        <v>560</v>
      </c>
      <c r="I26" s="281" t="s">
        <v>561</v>
      </c>
      <c r="J26" s="249"/>
      <c r="K26" s="281" t="s">
        <v>562</v>
      </c>
      <c r="L26" s="281" t="s">
        <v>563</v>
      </c>
      <c r="M26" s="281" t="s">
        <v>564</v>
      </c>
      <c r="N26" s="282" t="s">
        <v>485</v>
      </c>
      <c r="P26" s="281"/>
      <c r="Q26" s="283" t="s">
        <v>566</v>
      </c>
      <c r="R26" s="281" t="s">
        <v>567</v>
      </c>
      <c r="S26" s="281" t="s">
        <v>568</v>
      </c>
      <c r="T26" s="281" t="s">
        <v>569</v>
      </c>
      <c r="U26" s="249"/>
      <c r="V26" s="281" t="s">
        <v>570</v>
      </c>
      <c r="W26" s="281" t="s">
        <v>571</v>
      </c>
      <c r="X26" s="281" t="s">
        <v>572</v>
      </c>
      <c r="Y26" s="281" t="s">
        <v>573</v>
      </c>
      <c r="Z26" s="282" t="s">
        <v>485</v>
      </c>
      <c r="AB26" s="281"/>
      <c r="AC26" s="283" t="s">
        <v>574</v>
      </c>
      <c r="AD26" s="281" t="s">
        <v>575</v>
      </c>
      <c r="AE26" s="281"/>
      <c r="AF26" s="281" t="s">
        <v>576</v>
      </c>
      <c r="AG26" s="281" t="s">
        <v>577</v>
      </c>
      <c r="AH26" s="282" t="s">
        <v>485</v>
      </c>
      <c r="AJ26" s="283"/>
      <c r="AK26" s="281"/>
      <c r="AL26" s="282"/>
      <c r="AN26" s="290" t="s">
        <v>586</v>
      </c>
      <c r="AO26" s="291" t="s">
        <v>587</v>
      </c>
      <c r="AP26" s="292" t="s">
        <v>588</v>
      </c>
      <c r="AQ26" s="292" t="s">
        <v>589</v>
      </c>
      <c r="AR26" s="286"/>
    </row>
    <row r="27" spans="2:44" s="11" customFormat="1" ht="63" x14ac:dyDescent="0.25">
      <c r="B27" s="19" t="s">
        <v>290</v>
      </c>
      <c r="C27" s="11">
        <v>2020</v>
      </c>
      <c r="D27" s="11" t="s">
        <v>580</v>
      </c>
      <c r="F27" s="100">
        <f t="shared" si="4"/>
        <v>0.59450975042647269</v>
      </c>
      <c r="G27" s="99">
        <f t="shared" ref="G27:G36" si="14">K27/AL27*1000</f>
        <v>0.27517308448311023</v>
      </c>
      <c r="H27" s="100">
        <f t="shared" ref="H27:H36" si="15">L27/AL27*1000</f>
        <v>0.31933666594336252</v>
      </c>
      <c r="I27" s="12">
        <f t="shared" ref="I27:I36" si="16">M27/AL27*1000</f>
        <v>4.8693179558739669E-2</v>
      </c>
      <c r="J27" s="2"/>
      <c r="K27" s="12">
        <v>486000</v>
      </c>
      <c r="L27" s="12">
        <v>564000</v>
      </c>
      <c r="M27" s="12">
        <v>86000</v>
      </c>
      <c r="N27" s="103" t="s">
        <v>590</v>
      </c>
      <c r="P27" s="12">
        <f>SUM(Q27:T27)</f>
        <v>12.774146077449272</v>
      </c>
      <c r="Q27" s="111">
        <f>V27/$AL27*1000000*Parameters!$C$12*Parameters!$C$3</f>
        <v>7.052584239344899</v>
      </c>
      <c r="R27" s="12">
        <f>W27/$AL27*1000000*Parameters!$C$12*Parameters!$C$5</f>
        <v>5.3098213709518678</v>
      </c>
      <c r="S27" s="12">
        <f>X27/$AL27*1000000*Parameters!$C$12*Parameters!$C$4</f>
        <v>0</v>
      </c>
      <c r="T27" s="12">
        <f>Y27/$AL27*1000000*Parameters!$C$12*Parameters!$C$6</f>
        <v>0.41174046715250562</v>
      </c>
      <c r="U27" s="2"/>
      <c r="V27" s="2">
        <v>1384</v>
      </c>
      <c r="W27" s="2">
        <v>1042</v>
      </c>
      <c r="X27" s="2"/>
      <c r="Y27" s="2">
        <v>202</v>
      </c>
      <c r="Z27" s="103" t="str">
        <f>'Industries data'!N27</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27" s="38">
        <f>SUM(AC27:AD27)</f>
        <v>19.282499105260911</v>
      </c>
      <c r="AC27" s="104">
        <f t="shared" ref="AC27:AC36" si="17">AF27/$AL27*1000*1000</f>
        <v>11.450257793213865</v>
      </c>
      <c r="AD27" s="38">
        <f t="shared" ref="AD27:AD36" si="18">AG27/$AL27*1000*1000</f>
        <v>7.8322413120470449</v>
      </c>
      <c r="AE27" s="2"/>
      <c r="AF27" s="2">
        <v>20223</v>
      </c>
      <c r="AG27" s="2">
        <v>13833</v>
      </c>
      <c r="AH27" s="103" t="str">
        <f>'Industries data'!N27</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27" s="139" t="s">
        <v>580</v>
      </c>
      <c r="AK27" s="13">
        <f>AQ$30/AQ27*SUM(AF27:AG27)/SUM(AF$30:AG$30)*AK$30</f>
        <v>5446.4884859654239</v>
      </c>
      <c r="AL27" s="102">
        <f t="shared" ref="AL27:AL36" si="19">AK27*PI()*103.22*1000</f>
        <v>1766161108.7905295</v>
      </c>
      <c r="AN27" s="139"/>
      <c r="AQ27" s="128">
        <v>105</v>
      </c>
      <c r="AR27" s="140"/>
    </row>
    <row r="28" spans="2:44" s="11" customFormat="1" ht="63" x14ac:dyDescent="0.25">
      <c r="B28" s="19" t="s">
        <v>290</v>
      </c>
      <c r="C28" s="11">
        <v>2019</v>
      </c>
      <c r="D28" s="11" t="s">
        <v>580</v>
      </c>
      <c r="F28" s="100">
        <f t="shared" si="4"/>
        <v>0.65615271898924243</v>
      </c>
      <c r="G28" s="99">
        <f t="shared" si="14"/>
        <v>0.29029155240429544</v>
      </c>
      <c r="H28" s="100">
        <f t="shared" si="15"/>
        <v>0.36586116658494694</v>
      </c>
      <c r="I28" s="12">
        <f t="shared" si="16"/>
        <v>7.4527274674711402E-2</v>
      </c>
      <c r="J28" s="2"/>
      <c r="K28" s="12">
        <v>557000</v>
      </c>
      <c r="L28" s="12">
        <v>702000</v>
      </c>
      <c r="M28" s="12">
        <v>143000</v>
      </c>
      <c r="N28" s="103" t="s">
        <v>590</v>
      </c>
      <c r="P28" s="12">
        <f t="shared" ref="P28:P36" si="20">SUM(Q28:T28)</f>
        <v>11.076212291970432</v>
      </c>
      <c r="Q28" s="111">
        <f>V28/$AL28*1000000*Parameters!$C$12*Parameters!$C$3</f>
        <v>7.6174171094096632</v>
      </c>
      <c r="R28" s="12">
        <f>W28/$AL28*1000000*Parameters!$C$12*Parameters!$C$5</f>
        <v>3.0816767493116686</v>
      </c>
      <c r="S28" s="12">
        <f>X28/$AL28*1000000*Parameters!$C$12*Parameters!$C$4</f>
        <v>0</v>
      </c>
      <c r="T28" s="12">
        <f>Y28/$AL28*1000000*Parameters!$C$12*Parameters!$C$6</f>
        <v>0.37711843324909916</v>
      </c>
      <c r="U28" s="2"/>
      <c r="V28" s="2">
        <v>1624</v>
      </c>
      <c r="W28" s="2">
        <v>657</v>
      </c>
      <c r="X28" s="2"/>
      <c r="Y28" s="2">
        <v>201</v>
      </c>
      <c r="Z28" s="103" t="str">
        <f>'Industries data'!N28</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28" s="38">
        <f t="shared" ref="AB28:AB36" si="21">SUM(AC28:AD28)</f>
        <v>16.527856375937922</v>
      </c>
      <c r="AC28" s="104">
        <f t="shared" si="17"/>
        <v>9.820401655213896</v>
      </c>
      <c r="AD28" s="38">
        <f t="shared" si="18"/>
        <v>6.7074547207240265</v>
      </c>
      <c r="AE28" s="2"/>
      <c r="AF28" s="2">
        <v>18843</v>
      </c>
      <c r="AG28" s="2">
        <v>12870</v>
      </c>
      <c r="AH28" s="103" t="str">
        <f>'Industries data'!N28</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28" s="139" t="s">
        <v>580</v>
      </c>
      <c r="AK28" s="13">
        <f t="shared" ref="AK28:AK31" si="22">AQ$30/AQ28*SUM(AF28:AG28)/SUM(AF$30:AG$30)*AK$30</f>
        <v>5917.0749426823968</v>
      </c>
      <c r="AL28" s="102">
        <f t="shared" si="19"/>
        <v>1918760623.1966879</v>
      </c>
      <c r="AN28" s="139"/>
      <c r="AQ28" s="128">
        <v>90</v>
      </c>
      <c r="AR28" s="140"/>
    </row>
    <row r="29" spans="2:44" s="11" customFormat="1" ht="63" x14ac:dyDescent="0.25">
      <c r="B29" s="19" t="s">
        <v>290</v>
      </c>
      <c r="C29" s="11">
        <v>2018</v>
      </c>
      <c r="D29" s="11" t="s">
        <v>580</v>
      </c>
      <c r="F29" s="100">
        <f t="shared" si="4"/>
        <v>0.72213443507664654</v>
      </c>
      <c r="G29" s="99">
        <f t="shared" si="14"/>
        <v>0.32407984403439749</v>
      </c>
      <c r="H29" s="100">
        <f t="shared" si="15"/>
        <v>0.39805459104224905</v>
      </c>
      <c r="I29" s="12">
        <f t="shared" si="16"/>
        <v>6.8942451293031753E-2</v>
      </c>
      <c r="J29" s="2"/>
      <c r="K29" s="12">
        <v>644000</v>
      </c>
      <c r="L29" s="12">
        <v>791000</v>
      </c>
      <c r="M29" s="12">
        <v>137000</v>
      </c>
      <c r="N29" s="103" t="s">
        <v>590</v>
      </c>
      <c r="P29" s="12">
        <f t="shared" si="20"/>
        <v>10.549100861062525</v>
      </c>
      <c r="Q29" s="111">
        <f>V29/$AL29*1000000*Parameters!$C$12*Parameters!$C$3</f>
        <v>7.8443425602611612</v>
      </c>
      <c r="R29" s="12">
        <f>W29/$AL29*1000000*Parameters!$C$12*Parameters!$C$5</f>
        <v>2.3551143945356836</v>
      </c>
      <c r="S29" s="12">
        <f>X29/$AL29*1000000*Parameters!$C$12*Parameters!$C$4</f>
        <v>0</v>
      </c>
      <c r="T29" s="12">
        <f>Y29/$AL29*1000000*Parameters!$C$12*Parameters!$C$6</f>
        <v>0.34964390626568226</v>
      </c>
      <c r="U29" s="2"/>
      <c r="V29" s="2">
        <v>1732</v>
      </c>
      <c r="W29" s="2">
        <v>520</v>
      </c>
      <c r="X29" s="2"/>
      <c r="Y29" s="2">
        <v>193</v>
      </c>
      <c r="Z29" s="103" t="str">
        <f>'Industries data'!N29</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29" s="38">
        <f t="shared" si="21"/>
        <v>15.425999284208729</v>
      </c>
      <c r="AC29" s="104">
        <f t="shared" si="17"/>
        <v>9.1607911192580307</v>
      </c>
      <c r="AD29" s="38">
        <f t="shared" si="18"/>
        <v>6.265208164950697</v>
      </c>
      <c r="AE29" s="2"/>
      <c r="AF29" s="2">
        <v>18204</v>
      </c>
      <c r="AG29" s="2">
        <v>12450</v>
      </c>
      <c r="AH29" s="103" t="str">
        <f>'Industries data'!N29</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29" s="139" t="s">
        <v>580</v>
      </c>
      <c r="AK29" s="13">
        <f t="shared" si="22"/>
        <v>6128.0192201368372</v>
      </c>
      <c r="AL29" s="102">
        <f t="shared" si="19"/>
        <v>1987164619.6288793</v>
      </c>
      <c r="AN29" s="139"/>
      <c r="AQ29" s="128">
        <v>84</v>
      </c>
      <c r="AR29" s="140"/>
    </row>
    <row r="30" spans="2:44" s="11" customFormat="1" ht="63" x14ac:dyDescent="0.25">
      <c r="B30" s="19" t="s">
        <v>290</v>
      </c>
      <c r="C30" s="11">
        <v>2017</v>
      </c>
      <c r="D30" s="11" t="s">
        <v>580</v>
      </c>
      <c r="F30" s="100">
        <f t="shared" si="4"/>
        <v>0.7350869520973129</v>
      </c>
      <c r="G30" s="99">
        <f t="shared" si="14"/>
        <v>0.32676532404031911</v>
      </c>
      <c r="H30" s="100">
        <f t="shared" si="15"/>
        <v>0.40832162805699379</v>
      </c>
      <c r="I30" s="12">
        <f t="shared" si="16"/>
        <v>7.1294252517887804E-2</v>
      </c>
      <c r="J30" s="2"/>
      <c r="K30" s="12">
        <v>605000</v>
      </c>
      <c r="L30" s="12">
        <v>756000</v>
      </c>
      <c r="M30" s="12">
        <v>132000</v>
      </c>
      <c r="N30" s="103" t="s">
        <v>590</v>
      </c>
      <c r="P30" s="12">
        <f t="shared" si="20"/>
        <v>10.949824992395049</v>
      </c>
      <c r="Q30" s="111">
        <f>V30/$AL30*1000000*Parameters!$C$12*Parameters!$C$3</f>
        <v>7.5782549778673012</v>
      </c>
      <c r="R30" s="12">
        <f>W30/$AL30*1000000*Parameters!$C$12*Parameters!$C$5</f>
        <v>2.9846366622261216</v>
      </c>
      <c r="S30" s="12">
        <f>X30/$AL30*1000000*Parameters!$C$12*Parameters!$C$4</f>
        <v>0</v>
      </c>
      <c r="T30" s="12">
        <f>Y30/$AL30*1000000*Parameters!$C$12*Parameters!$C$6</f>
        <v>0.38693335230162751</v>
      </c>
      <c r="U30" s="2"/>
      <c r="V30" s="2">
        <v>1559</v>
      </c>
      <c r="W30" s="2">
        <v>614</v>
      </c>
      <c r="X30" s="2"/>
      <c r="Y30" s="2">
        <v>199</v>
      </c>
      <c r="Z30" s="103" t="str">
        <f>'Industries data'!N30</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0" s="38">
        <f t="shared" si="21"/>
        <v>16.160570678694857</v>
      </c>
      <c r="AC30" s="104">
        <f t="shared" si="17"/>
        <v>9.2164024618578591</v>
      </c>
      <c r="AD30" s="38">
        <f t="shared" si="18"/>
        <v>6.9441682168369967</v>
      </c>
      <c r="AE30" s="2"/>
      <c r="AF30" s="2">
        <v>17064</v>
      </c>
      <c r="AG30" s="2">
        <v>12857</v>
      </c>
      <c r="AH30" s="103" t="str">
        <f>'Industries data'!N30</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0" s="139" t="s">
        <v>583</v>
      </c>
      <c r="AK30" s="13">
        <f>AN30*AO30*AP30/100</f>
        <v>5709.6</v>
      </c>
      <c r="AL30" s="102">
        <f t="shared" ref="AL30" si="23">AK30*PI()*103.22*1000</f>
        <v>1851481645.9697232</v>
      </c>
      <c r="AN30" s="145">
        <v>122</v>
      </c>
      <c r="AO30" s="11">
        <v>52</v>
      </c>
      <c r="AP30" s="11">
        <v>90</v>
      </c>
      <c r="AQ30" s="128">
        <v>88</v>
      </c>
      <c r="AR30" s="293" t="s">
        <v>591</v>
      </c>
    </row>
    <row r="31" spans="2:44" s="11" customFormat="1" ht="63" x14ac:dyDescent="0.25">
      <c r="B31" s="19" t="s">
        <v>290</v>
      </c>
      <c r="C31" s="11">
        <v>2016</v>
      </c>
      <c r="D31" s="11" t="s">
        <v>580</v>
      </c>
      <c r="F31" s="100">
        <f t="shared" si="4"/>
        <v>0.80328583591051861</v>
      </c>
      <c r="G31" s="99">
        <f t="shared" si="14"/>
        <v>0.34346536128784377</v>
      </c>
      <c r="H31" s="100">
        <f t="shared" si="15"/>
        <v>0.45982047462267489</v>
      </c>
      <c r="I31" s="12">
        <f t="shared" si="16"/>
        <v>7.0310843886823085E-2</v>
      </c>
      <c r="J31" s="2"/>
      <c r="K31" s="12">
        <v>552000</v>
      </c>
      <c r="L31" s="12">
        <v>739000</v>
      </c>
      <c r="M31" s="12">
        <v>113000</v>
      </c>
      <c r="N31" s="103" t="s">
        <v>590</v>
      </c>
      <c r="P31" s="12">
        <f t="shared" si="20"/>
        <v>12.162033776819658</v>
      </c>
      <c r="Q31" s="111">
        <f>V31/$AL31*1000000*Parameters!$C$12*Parameters!$C$3</f>
        <v>8.6799670108069211</v>
      </c>
      <c r="R31" s="12">
        <f>W31/$AL31*1000000*Parameters!$C$12*Parameters!$C$5</f>
        <v>3.0407884431407473</v>
      </c>
      <c r="S31" s="12">
        <f>X31/$AL31*1000000*Parameters!$C$12*Parameters!$C$4</f>
        <v>0</v>
      </c>
      <c r="T31" s="12">
        <f>Y31/$AL31*1000000*Parameters!$C$12*Parameters!$C$6</f>
        <v>0.44127832287199059</v>
      </c>
      <c r="U31" s="2"/>
      <c r="V31" s="2">
        <v>1550</v>
      </c>
      <c r="W31" s="2">
        <v>543</v>
      </c>
      <c r="X31" s="2"/>
      <c r="Y31" s="2">
        <v>197</v>
      </c>
      <c r="Z31" s="103" t="str">
        <f>'Industries data'!N31</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1" s="38">
        <f t="shared" si="21"/>
        <v>18.180642013531717</v>
      </c>
      <c r="AC31" s="104">
        <f t="shared" si="17"/>
        <v>10.217472278455947</v>
      </c>
      <c r="AD31" s="38">
        <f t="shared" si="18"/>
        <v>7.9631697350757698</v>
      </c>
      <c r="AE31" s="2"/>
      <c r="AF31" s="2">
        <v>16421</v>
      </c>
      <c r="AG31" s="2">
        <v>12798</v>
      </c>
      <c r="AH31" s="103" t="str">
        <f>'Industries data'!N31</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1" s="139" t="s">
        <v>580</v>
      </c>
      <c r="AK31" s="13">
        <f t="shared" si="22"/>
        <v>4956.1267604692348</v>
      </c>
      <c r="AL31" s="102">
        <f t="shared" si="19"/>
        <v>1607148965.2704518</v>
      </c>
      <c r="AN31" s="139"/>
      <c r="AQ31" s="128">
        <v>99</v>
      </c>
      <c r="AR31" s="140"/>
    </row>
    <row r="32" spans="2:44" s="11" customFormat="1" ht="63" x14ac:dyDescent="0.25">
      <c r="B32" s="19" t="s">
        <v>290</v>
      </c>
      <c r="C32" s="11">
        <v>2015</v>
      </c>
      <c r="D32" s="11" t="s">
        <v>580</v>
      </c>
      <c r="F32" s="100">
        <f t="shared" si="4"/>
        <v>0.80367000612375428</v>
      </c>
      <c r="G32" s="99">
        <f t="shared" si="14"/>
        <v>0.34928968520117815</v>
      </c>
      <c r="H32" s="100">
        <f t="shared" si="15"/>
        <v>0.45438032092257613</v>
      </c>
      <c r="I32" s="12">
        <f t="shared" si="16"/>
        <v>8.2007143482015737E-2</v>
      </c>
      <c r="J32" s="2"/>
      <c r="K32" s="12">
        <v>575000</v>
      </c>
      <c r="L32" s="12">
        <v>748000</v>
      </c>
      <c r="M32" s="12">
        <v>135000</v>
      </c>
      <c r="N32" s="103" t="s">
        <v>590</v>
      </c>
      <c r="P32" s="12">
        <f t="shared" si="20"/>
        <v>11.823243232947149</v>
      </c>
      <c r="Q32" s="111">
        <f>V32/$AL32*1000000*Parameters!$C$12*Parameters!$C$3</f>
        <v>8.6107500656116525</v>
      </c>
      <c r="R32" s="12">
        <f>W32/$AL32*1000000*Parameters!$C$12*Parameters!$C$5</f>
        <v>2.7991771641861369</v>
      </c>
      <c r="S32" s="12">
        <f>X32/$AL32*1000000*Parameters!$C$12*Parameters!$C$4</f>
        <v>0</v>
      </c>
      <c r="T32" s="12">
        <f>Y32/$AL32*1000000*Parameters!$C$12*Parameters!$C$6</f>
        <v>0.41331600314935929</v>
      </c>
      <c r="U32" s="2"/>
      <c r="V32" s="2">
        <v>1575</v>
      </c>
      <c r="W32" s="2">
        <v>512</v>
      </c>
      <c r="X32" s="2"/>
      <c r="Y32" s="2">
        <v>189</v>
      </c>
      <c r="Z32" s="103" t="str">
        <f>'Industries data'!N32</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2" s="38">
        <f t="shared" si="21"/>
        <v>17.629713467667116</v>
      </c>
      <c r="AC32" s="104">
        <f t="shared" si="17"/>
        <v>9.6841324547429242</v>
      </c>
      <c r="AD32" s="38">
        <f t="shared" si="18"/>
        <v>7.9455810129241913</v>
      </c>
      <c r="AE32" s="2"/>
      <c r="AF32" s="2">
        <v>15942</v>
      </c>
      <c r="AG32" s="2">
        <v>13080</v>
      </c>
      <c r="AH32" s="103" t="str">
        <f>'Industries data'!N32</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2" s="139" t="s">
        <v>580</v>
      </c>
      <c r="AK32" s="13">
        <f t="shared" ref="AK32:AK36" si="24">AQ$30/AQ32*SUM(AF32:AG32)/SUM(AF$30:AG$30)*AK$30</f>
        <v>5076.5463587446948</v>
      </c>
      <c r="AL32" s="102">
        <f t="shared" si="19"/>
        <v>1646198053.8269286</v>
      </c>
      <c r="AN32" s="139"/>
      <c r="AQ32" s="128">
        <v>96</v>
      </c>
      <c r="AR32" s="140"/>
    </row>
    <row r="33" spans="2:44" s="11" customFormat="1" ht="63" x14ac:dyDescent="0.25">
      <c r="B33" s="19" t="s">
        <v>290</v>
      </c>
      <c r="C33" s="11">
        <v>2014</v>
      </c>
      <c r="D33" s="11" t="s">
        <v>580</v>
      </c>
      <c r="F33" s="100">
        <f t="shared" si="4"/>
        <v>0.85603006166555295</v>
      </c>
      <c r="G33" s="99">
        <f t="shared" si="14"/>
        <v>0.38167722122694886</v>
      </c>
      <c r="H33" s="100">
        <f t="shared" si="15"/>
        <v>0.47435284043860415</v>
      </c>
      <c r="I33" s="12">
        <f t="shared" si="16"/>
        <v>7.377467055664666E-2</v>
      </c>
      <c r="J33" s="2"/>
      <c r="K33" s="12">
        <v>626000</v>
      </c>
      <c r="L33" s="12">
        <v>778000</v>
      </c>
      <c r="M33" s="12">
        <v>121000</v>
      </c>
      <c r="N33" s="103" t="s">
        <v>590</v>
      </c>
      <c r="P33" s="12">
        <f t="shared" si="20"/>
        <v>12.061244073980035</v>
      </c>
      <c r="Q33" s="111">
        <f>V33/$AL33*1000000*Parameters!$C$12*Parameters!$C$3</f>
        <v>9.1419620688128926</v>
      </c>
      <c r="R33" s="12">
        <f>W33/$AL33*1000000*Parameters!$C$12*Parameters!$C$5</f>
        <v>2.5132164630950209</v>
      </c>
      <c r="S33" s="12">
        <f>X33/$AL33*1000000*Parameters!$C$12*Parameters!$C$4</f>
        <v>0</v>
      </c>
      <c r="T33" s="12">
        <f>Y33/$AL33*1000000*Parameters!$C$12*Parameters!$C$6</f>
        <v>0.40606554207212131</v>
      </c>
      <c r="U33" s="2"/>
      <c r="V33" s="2">
        <v>1666</v>
      </c>
      <c r="W33" s="2">
        <v>458</v>
      </c>
      <c r="X33" s="2"/>
      <c r="Y33" s="2">
        <v>185</v>
      </c>
      <c r="Z33" s="103" t="str">
        <f>'Industries data'!N33</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3" s="38">
        <f>SUM(AC33:AD33)</f>
        <v>18.547927710774779</v>
      </c>
      <c r="AC33" s="104">
        <f t="shared" si="17"/>
        <v>10.609529275671145</v>
      </c>
      <c r="AD33" s="38">
        <f t="shared" si="18"/>
        <v>7.9383984351036325</v>
      </c>
      <c r="AE33" s="12"/>
      <c r="AF33" s="2">
        <v>17401</v>
      </c>
      <c r="AG33" s="2">
        <v>13020</v>
      </c>
      <c r="AH33" s="103" t="str">
        <f>'Industries data'!N33</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3" s="139" t="s">
        <v>580</v>
      </c>
      <c r="AK33" s="13">
        <f t="shared" si="24"/>
        <v>5057.8315838308208</v>
      </c>
      <c r="AL33" s="102">
        <f t="shared" si="19"/>
        <v>1640129316.5666142</v>
      </c>
      <c r="AN33" s="139"/>
      <c r="AQ33" s="128">
        <v>101</v>
      </c>
      <c r="AR33" s="140"/>
    </row>
    <row r="34" spans="2:44" s="11" customFormat="1" ht="63" x14ac:dyDescent="0.25">
      <c r="B34" s="19" t="s">
        <v>290</v>
      </c>
      <c r="C34" s="11">
        <v>2013</v>
      </c>
      <c r="D34" s="11" t="s">
        <v>580</v>
      </c>
      <c r="F34" s="100">
        <f t="shared" si="4"/>
        <v>0.82809184279437953</v>
      </c>
      <c r="G34" s="99">
        <f t="shared" si="14"/>
        <v>0.33510802111620619</v>
      </c>
      <c r="H34" s="100">
        <f t="shared" si="15"/>
        <v>0.49298382167817334</v>
      </c>
      <c r="I34" s="12">
        <f t="shared" si="16"/>
        <v>6.5327917473917446E-2</v>
      </c>
      <c r="J34" s="2"/>
      <c r="K34" s="12">
        <v>554000</v>
      </c>
      <c r="L34" s="12">
        <v>815000</v>
      </c>
      <c r="M34" s="12">
        <v>108000</v>
      </c>
      <c r="N34" s="103" t="s">
        <v>590</v>
      </c>
      <c r="P34" s="12">
        <f>SUM(Q34:T34)</f>
        <v>11.790600305417534</v>
      </c>
      <c r="Q34" s="111">
        <f>V34/$AL34*1000000*Parameters!$C$12*Parameters!$C$3</f>
        <v>9.1840163982082288</v>
      </c>
      <c r="R34" s="12">
        <f>W34/$AL34*1000000*Parameters!$C$12*Parameters!$C$5</f>
        <v>2.1993732216218871</v>
      </c>
      <c r="S34" s="12">
        <f>X34/$AL34*1000000*Parameters!$C$12*Parameters!$C$4</f>
        <v>0</v>
      </c>
      <c r="T34" s="12">
        <f>Y34/$AL34*1000000*Parameters!$C$12*Parameters!$C$6</f>
        <v>0.4072106855874188</v>
      </c>
      <c r="U34" s="2"/>
      <c r="V34" s="2">
        <v>1687</v>
      </c>
      <c r="W34" s="2">
        <v>404</v>
      </c>
      <c r="X34" s="2"/>
      <c r="Y34" s="2">
        <v>187</v>
      </c>
      <c r="Z34" s="103" t="str">
        <f>'Industries data'!N34</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4" s="38">
        <f t="shared" si="21"/>
        <v>18.73157055939631</v>
      </c>
      <c r="AC34" s="104">
        <f t="shared" si="17"/>
        <v>10.583122630774627</v>
      </c>
      <c r="AD34" s="38">
        <f t="shared" si="18"/>
        <v>8.1484479286216835</v>
      </c>
      <c r="AE34" s="12"/>
      <c r="AF34" s="2">
        <v>17496</v>
      </c>
      <c r="AG34" s="2">
        <v>13471</v>
      </c>
      <c r="AH34" s="103" t="str">
        <f>'Industries data'!N34</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4" s="139" t="s">
        <v>580</v>
      </c>
      <c r="AK34" s="13">
        <f t="shared" si="24"/>
        <v>5098.1336216743312</v>
      </c>
      <c r="AL34" s="102">
        <f t="shared" si="19"/>
        <v>1653198267.6949656</v>
      </c>
      <c r="AN34" s="139"/>
      <c r="AQ34" s="128">
        <v>102</v>
      </c>
      <c r="AR34" s="140"/>
    </row>
    <row r="35" spans="2:44" s="11" customFormat="1" ht="63" x14ac:dyDescent="0.25">
      <c r="B35" s="19" t="s">
        <v>290</v>
      </c>
      <c r="C35" s="11">
        <v>2012</v>
      </c>
      <c r="D35" s="11" t="s">
        <v>580</v>
      </c>
      <c r="F35" s="100">
        <f t="shared" si="4"/>
        <v>0.94590822027926547</v>
      </c>
      <c r="G35" s="99">
        <f t="shared" si="14"/>
        <v>0.38204068508039446</v>
      </c>
      <c r="H35" s="100">
        <f t="shared" si="15"/>
        <v>0.56386753519887101</v>
      </c>
      <c r="I35" s="12">
        <f t="shared" si="16"/>
        <v>7.2866939935119793E-2</v>
      </c>
      <c r="J35" s="2"/>
      <c r="K35" s="12">
        <v>561000</v>
      </c>
      <c r="L35" s="12">
        <v>828000</v>
      </c>
      <c r="M35" s="12">
        <v>107000</v>
      </c>
      <c r="N35" s="103" t="s">
        <v>590</v>
      </c>
      <c r="P35" s="12">
        <f t="shared" si="20"/>
        <v>12.894179571210703</v>
      </c>
      <c r="Q35" s="111">
        <f>V35/$AL35*1000000*Parameters!$C$12*Parameters!$C$3</f>
        <v>11.50412351704653</v>
      </c>
      <c r="R35" s="12">
        <f>W35/$AL35*1000000*Parameters!$C$12*Parameters!$C$5</f>
        <v>1.0051551714414657</v>
      </c>
      <c r="S35" s="12">
        <f>X35/$AL35*1000000*Parameters!$C$12*Parameters!$C$4</f>
        <v>0</v>
      </c>
      <c r="T35" s="12">
        <f>Y35/$AL35*1000000*Parameters!$C$12*Parameters!$C$6</f>
        <v>0.38490088272270762</v>
      </c>
      <c r="U35" s="2"/>
      <c r="V35" s="2">
        <v>1877</v>
      </c>
      <c r="W35" s="2">
        <v>164</v>
      </c>
      <c r="X35" s="2"/>
      <c r="Y35" s="2">
        <v>157</v>
      </c>
      <c r="Z35" s="103" t="str">
        <f>'Industries data'!N35</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5" s="38">
        <f t="shared" si="21"/>
        <v>19.282499105260911</v>
      </c>
      <c r="AC35" s="104">
        <f t="shared" si="17"/>
        <v>10.99133093974611</v>
      </c>
      <c r="AD35" s="38">
        <f t="shared" si="18"/>
        <v>8.2911681655147991</v>
      </c>
      <c r="AE35" s="12"/>
      <c r="AF35" s="2">
        <v>16140</v>
      </c>
      <c r="AG35" s="2">
        <v>12175</v>
      </c>
      <c r="AH35" s="103" t="str">
        <f>'Industries data'!N35</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5" s="139" t="s">
        <v>580</v>
      </c>
      <c r="AK35" s="13">
        <f t="shared" si="24"/>
        <v>4528.3451221550085</v>
      </c>
      <c r="AL35" s="102">
        <f t="shared" si="19"/>
        <v>1468429991.6432889</v>
      </c>
      <c r="AN35" s="139"/>
      <c r="AQ35" s="128">
        <v>105</v>
      </c>
      <c r="AR35" s="140"/>
    </row>
    <row r="36" spans="2:44" s="11" customFormat="1" ht="63" x14ac:dyDescent="0.25">
      <c r="B36" s="19" t="s">
        <v>290</v>
      </c>
      <c r="C36" s="11">
        <v>2011</v>
      </c>
      <c r="D36" s="11" t="s">
        <v>580</v>
      </c>
      <c r="F36" s="100">
        <f t="shared" si="4"/>
        <v>0.99341741836496711</v>
      </c>
      <c r="G36" s="99">
        <f t="shared" si="14"/>
        <v>0.40672289332666411</v>
      </c>
      <c r="H36" s="100">
        <f t="shared" si="15"/>
        <v>0.58669452503830299</v>
      </c>
      <c r="I36" s="12">
        <f t="shared" si="16"/>
        <v>7.5367181511011225E-2</v>
      </c>
      <c r="J36" s="2"/>
      <c r="K36" s="12">
        <v>626000</v>
      </c>
      <c r="L36" s="12">
        <v>903000</v>
      </c>
      <c r="M36" s="12">
        <v>116000</v>
      </c>
      <c r="N36" s="103" t="s">
        <v>590</v>
      </c>
      <c r="P36" s="12">
        <f t="shared" si="20"/>
        <v>12.743940676430007</v>
      </c>
      <c r="Q36" s="111">
        <f>V36/$AL36*1000000*Parameters!$C$12*Parameters!$C$3</f>
        <v>11.162789185695551</v>
      </c>
      <c r="R36" s="12">
        <f>W36/$AL36*1000000*Parameters!$C$12*Parameters!$C$5</f>
        <v>1.1694907475846572</v>
      </c>
      <c r="S36" s="12">
        <f>X36/$AL36*1000000*Parameters!$C$12*Parameters!$C$4</f>
        <v>0</v>
      </c>
      <c r="T36" s="12">
        <f>Y36/$AL36*1000000*Parameters!$C$12*Parameters!$C$6</f>
        <v>0.41166074314979928</v>
      </c>
      <c r="U36" s="2"/>
      <c r="V36" s="2">
        <v>1909</v>
      </c>
      <c r="W36" s="2">
        <v>200</v>
      </c>
      <c r="X36" s="2"/>
      <c r="Y36" s="2">
        <v>176</v>
      </c>
      <c r="Z36" s="103" t="str">
        <f>'Industries data'!N36</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B36" s="38">
        <f t="shared" si="21"/>
        <v>18.915213408017845</v>
      </c>
      <c r="AC36" s="104">
        <f t="shared" si="17"/>
        <v>11.25439929425635</v>
      </c>
      <c r="AD36" s="38">
        <f t="shared" si="18"/>
        <v>7.6608141137614947</v>
      </c>
      <c r="AE36" s="12"/>
      <c r="AF36" s="2">
        <v>17322</v>
      </c>
      <c r="AG36" s="2">
        <v>11791</v>
      </c>
      <c r="AH36" s="103" t="str">
        <f>'Industries data'!N36</f>
        <v>ST case is more complicated because they are not expanding as TSMC or UMC, so we can not just say that they are using 90% loading each year.  In this case, we chose to consider they were at 90% in 2017 and then use the normalize water consumption to compute each year production.</v>
      </c>
      <c r="AJ36" s="139" t="s">
        <v>580</v>
      </c>
      <c r="AK36" s="13">
        <f t="shared" si="24"/>
        <v>4746.3743399365903</v>
      </c>
      <c r="AL36" s="102">
        <f t="shared" si="19"/>
        <v>1539131458.4724422</v>
      </c>
      <c r="AN36" s="141"/>
      <c r="AO36" s="142"/>
      <c r="AP36" s="142"/>
      <c r="AQ36" s="131">
        <v>103</v>
      </c>
      <c r="AR36" s="143"/>
    </row>
    <row r="37" spans="2:44" s="278" customFormat="1" ht="33.75" x14ac:dyDescent="0.25">
      <c r="B37" s="242"/>
      <c r="F37" s="279"/>
      <c r="G37" s="280" t="s">
        <v>559</v>
      </c>
      <c r="H37" s="279" t="s">
        <v>560</v>
      </c>
      <c r="I37" s="281" t="s">
        <v>561</v>
      </c>
      <c r="J37" s="249"/>
      <c r="K37" s="281" t="s">
        <v>562</v>
      </c>
      <c r="L37" s="281" t="s">
        <v>563</v>
      </c>
      <c r="M37" s="281" t="s">
        <v>564</v>
      </c>
      <c r="N37" s="282" t="s">
        <v>485</v>
      </c>
      <c r="P37" s="281"/>
      <c r="Q37" s="283" t="s">
        <v>566</v>
      </c>
      <c r="R37" s="281" t="s">
        <v>567</v>
      </c>
      <c r="S37" s="281" t="s">
        <v>568</v>
      </c>
      <c r="T37" s="281" t="s">
        <v>569</v>
      </c>
      <c r="U37" s="249"/>
      <c r="V37" s="281" t="s">
        <v>570</v>
      </c>
      <c r="W37" s="281" t="s">
        <v>571</v>
      </c>
      <c r="X37" s="281" t="s">
        <v>572</v>
      </c>
      <c r="Y37" s="281" t="s">
        <v>573</v>
      </c>
      <c r="Z37" s="282" t="s">
        <v>485</v>
      </c>
      <c r="AB37" s="281"/>
      <c r="AC37" s="283" t="s">
        <v>574</v>
      </c>
      <c r="AD37" s="281" t="s">
        <v>575</v>
      </c>
      <c r="AE37" s="281"/>
      <c r="AF37" s="281" t="s">
        <v>576</v>
      </c>
      <c r="AG37" s="281" t="s">
        <v>577</v>
      </c>
      <c r="AH37" s="282" t="s">
        <v>485</v>
      </c>
      <c r="AJ37" s="283"/>
      <c r="AK37" s="281"/>
      <c r="AL37" s="282"/>
    </row>
    <row r="38" spans="2:44" s="11" customFormat="1" ht="31.5" x14ac:dyDescent="0.25">
      <c r="B38" s="19" t="s">
        <v>302</v>
      </c>
      <c r="C38" s="11">
        <v>2020</v>
      </c>
      <c r="D38" s="11" t="s">
        <v>580</v>
      </c>
      <c r="F38" s="100">
        <f t="shared" si="4"/>
        <v>1.1893459780402327</v>
      </c>
      <c r="G38" s="99">
        <f t="shared" ref="G38:G47" si="25">K38/$AL38*1000</f>
        <v>0.30727393135249631</v>
      </c>
      <c r="H38" s="100">
        <f t="shared" ref="H38:H47" si="26">L38/$AL38*1000</f>
        <v>0.88207204668773642</v>
      </c>
      <c r="I38" s="100">
        <f t="shared" ref="I38:I47" si="27">M38/$AL38*1000</f>
        <v>0</v>
      </c>
      <c r="J38" s="100"/>
      <c r="K38" s="100">
        <v>550105</v>
      </c>
      <c r="L38" s="100">
        <v>1579152</v>
      </c>
      <c r="M38" s="105"/>
      <c r="N38" s="103" t="s">
        <v>592</v>
      </c>
      <c r="P38" s="38">
        <f>SUM(Q38:T38)</f>
        <v>9.9024980863713736</v>
      </c>
      <c r="Q38" s="111">
        <f>V38/$AL38*1000000*Parameters!$C$12*Parameters!$C$3</f>
        <v>8.1691336127289489</v>
      </c>
      <c r="R38" s="12">
        <f>W38/$AL38*1000000*Parameters!$C$12*Parameters!$C$5</f>
        <v>0</v>
      </c>
      <c r="S38" s="12">
        <f>X38/$AL38*1000000*Parameters!$C$12*Parameters!$C$4</f>
        <v>1.4578761524254742</v>
      </c>
      <c r="T38" s="12">
        <f>Y38/$AL38*1000000*Parameters!$C$12*Parameters!$C$6</f>
        <v>0.27548832121695166</v>
      </c>
      <c r="U38" s="2"/>
      <c r="V38" s="2">
        <v>1625</v>
      </c>
      <c r="X38" s="2">
        <v>290</v>
      </c>
      <c r="Y38" s="105">
        <v>137</v>
      </c>
      <c r="Z38" s="103" t="s">
        <v>592</v>
      </c>
      <c r="AB38" s="38">
        <f>SUM(AC38:AD38)</f>
        <v>21.000119473788551</v>
      </c>
      <c r="AC38" s="104">
        <f t="shared" ref="AC38:AD42" si="28">AF38/$AL38*1000*1000</f>
        <v>8.4897546516148577</v>
      </c>
      <c r="AD38" s="38">
        <f t="shared" si="28"/>
        <v>12.510364822173694</v>
      </c>
      <c r="AE38" s="2"/>
      <c r="AF38" s="2">
        <v>15199</v>
      </c>
      <c r="AG38" s="2">
        <v>22397</v>
      </c>
      <c r="AH38" s="103" t="s">
        <v>592</v>
      </c>
      <c r="AJ38" s="139" t="s">
        <v>593</v>
      </c>
      <c r="AK38" s="2">
        <v>5698624</v>
      </c>
      <c r="AL38" s="103">
        <v>1790275529</v>
      </c>
    </row>
    <row r="39" spans="2:44" s="11" customFormat="1" ht="31.5" x14ac:dyDescent="0.25">
      <c r="B39" s="19" t="s">
        <v>302</v>
      </c>
      <c r="C39" s="11">
        <v>2019</v>
      </c>
      <c r="D39" s="11" t="s">
        <v>580</v>
      </c>
      <c r="F39" s="100">
        <f t="shared" si="4"/>
        <v>1.0904761776569529</v>
      </c>
      <c r="G39" s="99">
        <f t="shared" si="25"/>
        <v>0.27294613390779793</v>
      </c>
      <c r="H39" s="100">
        <f t="shared" si="26"/>
        <v>0.81753004374915506</v>
      </c>
      <c r="I39" s="100">
        <f t="shared" si="27"/>
        <v>0</v>
      </c>
      <c r="J39" s="100"/>
      <c r="K39" s="100">
        <v>431212</v>
      </c>
      <c r="L39" s="100">
        <v>1291569</v>
      </c>
      <c r="M39" s="105"/>
      <c r="N39" s="103" t="s">
        <v>592</v>
      </c>
      <c r="P39" s="38">
        <f t="shared" ref="P39:P47" si="29">SUM(Q39:T39)</f>
        <v>9.5728508268971471</v>
      </c>
      <c r="Q39" s="111">
        <f>V39/$AL39*1000000*Parameters!$C$12*Parameters!$C$3</f>
        <v>7.9925670733972254</v>
      </c>
      <c r="R39" s="12">
        <f>W39/$AL39*1000000*Parameters!$C$12*Parameters!$C$5</f>
        <v>0</v>
      </c>
      <c r="S39" s="12">
        <f>X39/$AL39*1000000*Parameters!$C$12*Parameters!$C$4</f>
        <v>1.3501342811084407</v>
      </c>
      <c r="T39" s="12">
        <f>Y39/$AL39*1000000*Parameters!$C$12*Parameters!$C$6</f>
        <v>0.23014947239148104</v>
      </c>
      <c r="U39" s="2"/>
      <c r="V39" s="2">
        <v>1403</v>
      </c>
      <c r="X39" s="2">
        <v>237</v>
      </c>
      <c r="Y39" s="105">
        <v>101</v>
      </c>
      <c r="Z39" s="103" t="s">
        <v>592</v>
      </c>
      <c r="AB39" s="38">
        <f t="shared" ref="AB39:AB42" si="30">SUM(AC39:AD39)</f>
        <v>16.78268182339859</v>
      </c>
      <c r="AC39" s="104">
        <f t="shared" si="28"/>
        <v>6.9494253503467274</v>
      </c>
      <c r="AD39" s="38">
        <f t="shared" si="28"/>
        <v>9.833256473051863</v>
      </c>
      <c r="AE39" s="2"/>
      <c r="AF39" s="2">
        <v>10979</v>
      </c>
      <c r="AG39" s="2">
        <v>15535</v>
      </c>
      <c r="AH39" s="103" t="s">
        <v>592</v>
      </c>
      <c r="AJ39" s="139" t="s">
        <v>593</v>
      </c>
      <c r="AK39" s="2">
        <v>5028796</v>
      </c>
      <c r="AL39" s="103">
        <v>1579842857</v>
      </c>
    </row>
    <row r="40" spans="2:44" s="11" customFormat="1" ht="31.5" x14ac:dyDescent="0.25">
      <c r="B40" s="19" t="s">
        <v>302</v>
      </c>
      <c r="C40" s="11">
        <v>2018</v>
      </c>
      <c r="D40" s="11" t="s">
        <v>580</v>
      </c>
      <c r="F40" s="100">
        <f t="shared" si="4"/>
        <v>1.1761798570148085</v>
      </c>
      <c r="G40" s="99">
        <f t="shared" si="25"/>
        <v>0.27798112075350129</v>
      </c>
      <c r="H40" s="100">
        <f t="shared" si="26"/>
        <v>0.89819873626130731</v>
      </c>
      <c r="I40" s="100">
        <f t="shared" si="27"/>
        <v>0</v>
      </c>
      <c r="J40" s="100"/>
      <c r="K40" s="100">
        <v>425706</v>
      </c>
      <c r="L40" s="100">
        <v>1375520</v>
      </c>
      <c r="M40" s="105"/>
      <c r="N40" s="103" t="s">
        <v>592</v>
      </c>
      <c r="P40" s="38">
        <f t="shared" si="29"/>
        <v>10.700653084550785</v>
      </c>
      <c r="Q40" s="111">
        <f>V40/$AL40*1000000*Parameters!$C$12*Parameters!$C$3</f>
        <v>8.8035909054575328</v>
      </c>
      <c r="R40" s="12">
        <f>W40/$AL40*1000000*Parameters!$C$12*Parameters!$C$5</f>
        <v>0</v>
      </c>
      <c r="S40" s="12">
        <f>X40/$AL40*1000000*Parameters!$C$12*Parameters!$C$4</f>
        <v>1.6220234245035243</v>
      </c>
      <c r="T40" s="12">
        <f>Y40/$AL40*1000000*Parameters!$C$12*Parameters!$C$6</f>
        <v>0.27503875458972799</v>
      </c>
      <c r="U40" s="2"/>
      <c r="V40" s="2">
        <v>1498</v>
      </c>
      <c r="X40" s="2">
        <v>276</v>
      </c>
      <c r="Y40" s="105">
        <v>117</v>
      </c>
      <c r="Z40" s="103" t="s">
        <v>592</v>
      </c>
      <c r="AB40" s="38">
        <f t="shared" si="30"/>
        <v>17.004473428943747</v>
      </c>
      <c r="AC40" s="104">
        <f t="shared" si="28"/>
        <v>7.0607646091612741</v>
      </c>
      <c r="AD40" s="38">
        <f t="shared" si="28"/>
        <v>9.9437088197824739</v>
      </c>
      <c r="AE40" s="2"/>
      <c r="AF40" s="2">
        <v>10813</v>
      </c>
      <c r="AG40" s="2">
        <v>15228</v>
      </c>
      <c r="AH40" s="103" t="s">
        <v>592</v>
      </c>
      <c r="AJ40" s="139" t="s">
        <v>593</v>
      </c>
      <c r="AK40" s="2">
        <v>4874663</v>
      </c>
      <c r="AL40" s="103">
        <v>1531420547</v>
      </c>
    </row>
    <row r="41" spans="2:44" s="11" customFormat="1" ht="31.5" x14ac:dyDescent="0.25">
      <c r="B41" s="19" t="s">
        <v>302</v>
      </c>
      <c r="C41" s="11">
        <v>2017</v>
      </c>
      <c r="D41" s="11" t="s">
        <v>580</v>
      </c>
      <c r="F41" s="100">
        <f t="shared" si="4"/>
        <v>1.3262255357303023</v>
      </c>
      <c r="G41" s="99">
        <f t="shared" si="25"/>
        <v>0.34119533242900829</v>
      </c>
      <c r="H41" s="100">
        <f t="shared" si="26"/>
        <v>0.98503020330129398</v>
      </c>
      <c r="I41" s="100">
        <f t="shared" si="27"/>
        <v>0</v>
      </c>
      <c r="J41" s="100"/>
      <c r="K41" s="100">
        <v>462071</v>
      </c>
      <c r="L41" s="100">
        <v>1333998</v>
      </c>
      <c r="M41" s="105"/>
      <c r="N41" s="103" t="s">
        <v>592</v>
      </c>
      <c r="P41" s="38">
        <f t="shared" si="29"/>
        <v>11.538161939332261</v>
      </c>
      <c r="Q41" s="111">
        <f>V41/$AL41*1000000*Parameters!$C$12*Parameters!$C$3</f>
        <v>9.4700384538350839</v>
      </c>
      <c r="R41" s="12">
        <f>W41/$AL41*1000000*Parameters!$C$12*Parameters!$C$5</f>
        <v>0</v>
      </c>
      <c r="S41" s="12">
        <f>X41/$AL41*1000000*Parameters!$C$12*Parameters!$C$4</f>
        <v>1.7677405113825493</v>
      </c>
      <c r="T41" s="12">
        <f>Y41/$AL41*1000000*Parameters!$C$12*Parameters!$C$6</f>
        <v>0.30038297411462866</v>
      </c>
      <c r="U41" s="2"/>
      <c r="V41" s="2">
        <v>1425</v>
      </c>
      <c r="X41" s="2">
        <v>266</v>
      </c>
      <c r="Y41" s="105">
        <v>113</v>
      </c>
      <c r="Z41" s="103" t="s">
        <v>592</v>
      </c>
      <c r="AB41" s="38">
        <f t="shared" si="30"/>
        <v>17.993442264565559</v>
      </c>
      <c r="AC41" s="104">
        <f t="shared" si="28"/>
        <v>7.9149584551000594</v>
      </c>
      <c r="AD41" s="38">
        <f t="shared" si="28"/>
        <v>10.078483809465501</v>
      </c>
      <c r="AE41" s="2"/>
      <c r="AF41" s="2">
        <v>10719</v>
      </c>
      <c r="AG41" s="2">
        <v>13649</v>
      </c>
      <c r="AH41" s="103" t="s">
        <v>592</v>
      </c>
      <c r="AJ41" s="139" t="s">
        <v>593</v>
      </c>
      <c r="AK41" s="2">
        <v>4310779</v>
      </c>
      <c r="AL41" s="103">
        <v>1354271164</v>
      </c>
    </row>
    <row r="42" spans="2:44" s="11" customFormat="1" ht="31.5" x14ac:dyDescent="0.25">
      <c r="B42" s="19" t="s">
        <v>302</v>
      </c>
      <c r="C42" s="11">
        <v>2016</v>
      </c>
      <c r="D42" s="11" t="s">
        <v>580</v>
      </c>
      <c r="F42" s="100">
        <f t="shared" si="4"/>
        <v>1.0877485551835617</v>
      </c>
      <c r="G42" s="99">
        <f t="shared" si="25"/>
        <v>0.30504203130003799</v>
      </c>
      <c r="H42" s="100">
        <f t="shared" si="26"/>
        <v>0.7827065238835238</v>
      </c>
      <c r="I42" s="100">
        <f t="shared" si="27"/>
        <v>0</v>
      </c>
      <c r="J42" s="100"/>
      <c r="K42" s="100">
        <v>379272</v>
      </c>
      <c r="L42" s="100">
        <v>973173</v>
      </c>
      <c r="M42" s="105"/>
      <c r="N42" s="103" t="s">
        <v>592</v>
      </c>
      <c r="P42" s="38">
        <f t="shared" si="29"/>
        <v>10.671066313576123</v>
      </c>
      <c r="Q42" s="111">
        <f>V42/$AL42*1000000*Parameters!$C$12*Parameters!$C$3</f>
        <v>8.3315678516660689</v>
      </c>
      <c r="R42" s="12">
        <f>W42/$AL42*1000000*Parameters!$C$12*Parameters!$C$5</f>
        <v>0</v>
      </c>
      <c r="S42" s="12">
        <f>X42/$AL42*1000000*Parameters!$C$12*Parameters!$C$4</f>
        <v>2.0412703163942933</v>
      </c>
      <c r="T42" s="12">
        <f>Y42/$AL42*1000000*Parameters!$C$12*Parameters!$C$6</f>
        <v>0.29822814551576199</v>
      </c>
      <c r="U42" s="2"/>
      <c r="V42" s="2">
        <v>1151</v>
      </c>
      <c r="X42" s="2">
        <v>282</v>
      </c>
      <c r="Y42" s="105">
        <v>103</v>
      </c>
      <c r="Z42" s="103" t="s">
        <v>592</v>
      </c>
      <c r="AB42" s="38">
        <f t="shared" si="30"/>
        <v>18.047306788641272</v>
      </c>
      <c r="AC42" s="104">
        <f t="shared" si="28"/>
        <v>8.5390728720087523</v>
      </c>
      <c r="AD42" s="38">
        <f t="shared" si="28"/>
        <v>9.5082339166325198</v>
      </c>
      <c r="AE42" s="2"/>
      <c r="AF42" s="2">
        <v>10617</v>
      </c>
      <c r="AG42" s="2">
        <v>11822</v>
      </c>
      <c r="AH42" s="103" t="s">
        <v>592</v>
      </c>
      <c r="AJ42" s="139" t="s">
        <v>593</v>
      </c>
      <c r="AK42" s="2">
        <v>3957685</v>
      </c>
      <c r="AL42" s="103">
        <v>1243343412</v>
      </c>
    </row>
    <row r="43" spans="2:44" s="11" customFormat="1" ht="31.5" x14ac:dyDescent="0.25">
      <c r="B43" s="19" t="s">
        <v>302</v>
      </c>
      <c r="C43" s="11">
        <v>2015</v>
      </c>
      <c r="D43" s="11" t="s">
        <v>580</v>
      </c>
      <c r="F43" s="100">
        <f t="shared" si="4"/>
        <v>1.3026018519453255</v>
      </c>
      <c r="G43" s="99">
        <f t="shared" si="25"/>
        <v>0.37370276326309348</v>
      </c>
      <c r="H43" s="100">
        <f t="shared" si="26"/>
        <v>0.92889908868223214</v>
      </c>
      <c r="I43" s="100">
        <f t="shared" si="27"/>
        <v>0</v>
      </c>
      <c r="J43" s="100"/>
      <c r="K43" s="100">
        <v>354081</v>
      </c>
      <c r="L43" s="100">
        <v>880126</v>
      </c>
      <c r="M43" s="105"/>
      <c r="N43" s="103" t="s">
        <v>592</v>
      </c>
      <c r="P43" s="38">
        <f t="shared" si="29"/>
        <v>10.798172484537046</v>
      </c>
      <c r="Q43" s="111">
        <f>V43/$AL43*1000000*Parameters!$C$12*Parameters!$C$3</f>
        <v>8.1974163037961567</v>
      </c>
      <c r="R43" s="12">
        <f>W43/$AL43*1000000*Parameters!$C$12*Parameters!$C$5</f>
        <v>0</v>
      </c>
      <c r="S43" s="12">
        <f>X43/$AL43*1000000*Parameters!$C$12*Parameters!$C$4</f>
        <v>2.2701998801938377</v>
      </c>
      <c r="T43" s="12">
        <f>Y43/$AL43*1000000*Parameters!$C$12*Parameters!$C$6</f>
        <v>0.33055630054705248</v>
      </c>
      <c r="U43" s="2"/>
      <c r="V43" s="2">
        <v>863</v>
      </c>
      <c r="X43" s="2">
        <v>239</v>
      </c>
      <c r="Y43" s="105">
        <v>87</v>
      </c>
      <c r="Z43" s="103" t="s">
        <v>592</v>
      </c>
      <c r="AB43" s="38"/>
      <c r="AC43" s="104"/>
      <c r="AD43" s="38"/>
      <c r="AE43" s="2"/>
      <c r="AF43" s="2"/>
      <c r="AG43" s="2"/>
      <c r="AH43" s="103"/>
      <c r="AJ43" s="139" t="s">
        <v>593</v>
      </c>
      <c r="AK43" s="2">
        <v>3015966</v>
      </c>
      <c r="AL43" s="103">
        <v>947493662.89999998</v>
      </c>
    </row>
    <row r="44" spans="2:44" s="11" customFormat="1" ht="31.5" x14ac:dyDescent="0.25">
      <c r="B44" s="19" t="s">
        <v>302</v>
      </c>
      <c r="C44" s="11">
        <v>2014</v>
      </c>
      <c r="D44" s="11" t="s">
        <v>580</v>
      </c>
      <c r="F44" s="100">
        <f t="shared" si="4"/>
        <v>1.4577470786507889</v>
      </c>
      <c r="G44" s="99">
        <f t="shared" si="25"/>
        <v>0.40803694494801362</v>
      </c>
      <c r="H44" s="100">
        <f t="shared" si="26"/>
        <v>1.0497101337027752</v>
      </c>
      <c r="I44" s="100">
        <f t="shared" si="27"/>
        <v>0</v>
      </c>
      <c r="J44" s="100"/>
      <c r="K44" s="100">
        <v>328066</v>
      </c>
      <c r="L44" s="100">
        <v>843978</v>
      </c>
      <c r="M44" s="105"/>
      <c r="N44" s="103" t="s">
        <v>592</v>
      </c>
      <c r="P44" s="38">
        <f t="shared" si="29"/>
        <v>11.932679551770809</v>
      </c>
      <c r="Q44" s="111">
        <f>V44/$AL44*1000000*Parameters!$C$12*Parameters!$C$3</f>
        <v>8.9774943719701579</v>
      </c>
      <c r="R44" s="12">
        <f>W44/$AL44*1000000*Parameters!$C$12*Parameters!$C$5</f>
        <v>0</v>
      </c>
      <c r="S44" s="12">
        <f>X44/$AL44*1000000*Parameters!$C$12*Parameters!$C$4</f>
        <v>2.574593149068749</v>
      </c>
      <c r="T44" s="12">
        <f>Y44/$AL44*1000000*Parameters!$C$12*Parameters!$C$6</f>
        <v>0.38059203073190201</v>
      </c>
      <c r="U44" s="2"/>
      <c r="V44" s="2">
        <v>802</v>
      </c>
      <c r="X44" s="2">
        <v>230</v>
      </c>
      <c r="Y44" s="105">
        <v>85</v>
      </c>
      <c r="Z44" s="103" t="s">
        <v>592</v>
      </c>
      <c r="AB44" s="38"/>
      <c r="AC44" s="104"/>
      <c r="AD44" s="38"/>
      <c r="AE44" s="2"/>
      <c r="AF44" s="2"/>
      <c r="AG44" s="2"/>
      <c r="AH44" s="103"/>
      <c r="AJ44" s="139" t="s">
        <v>593</v>
      </c>
      <c r="AK44" s="2">
        <v>2559245</v>
      </c>
      <c r="AL44" s="103">
        <v>804010529.10000002</v>
      </c>
    </row>
    <row r="45" spans="2:44" s="11" customFormat="1" ht="31.5" x14ac:dyDescent="0.25">
      <c r="B45" s="19" t="s">
        <v>302</v>
      </c>
      <c r="C45" s="11">
        <v>2013</v>
      </c>
      <c r="D45" s="11" t="s">
        <v>580</v>
      </c>
      <c r="F45" s="100">
        <f t="shared" si="4"/>
        <v>1.3874924248160654</v>
      </c>
      <c r="G45" s="99">
        <f t="shared" si="25"/>
        <v>0.39695265934588925</v>
      </c>
      <c r="H45" s="100">
        <f t="shared" si="26"/>
        <v>0.99053976547017608</v>
      </c>
      <c r="I45" s="100">
        <f t="shared" si="27"/>
        <v>0</v>
      </c>
      <c r="J45" s="100"/>
      <c r="K45" s="100">
        <v>321009</v>
      </c>
      <c r="L45" s="100">
        <v>801033</v>
      </c>
      <c r="M45" s="105"/>
      <c r="N45" s="103" t="s">
        <v>592</v>
      </c>
      <c r="P45" s="38">
        <f t="shared" si="29"/>
        <v>11.8258898111532</v>
      </c>
      <c r="Q45" s="111">
        <f>V45/$AL45*1000000*Parameters!$C$12*Parameters!$C$3</f>
        <v>8.7364233970969902</v>
      </c>
      <c r="R45" s="12">
        <f>W45/$AL45*1000000*Parameters!$C$12*Parameters!$C$5</f>
        <v>0</v>
      </c>
      <c r="S45" s="12">
        <f>X45/$AL45*1000000*Parameters!$C$12*Parameters!$C$4</f>
        <v>2.6710084271379331</v>
      </c>
      <c r="T45" s="12">
        <f>Y45/$AL45*1000000*Parameters!$C$12*Parameters!$C$6</f>
        <v>0.41845798691827618</v>
      </c>
      <c r="U45" s="2"/>
      <c r="V45" s="2">
        <v>785</v>
      </c>
      <c r="X45" s="2">
        <v>240</v>
      </c>
      <c r="Y45" s="105">
        <v>94</v>
      </c>
      <c r="Z45" s="103" t="s">
        <v>592</v>
      </c>
      <c r="AB45" s="38"/>
      <c r="AC45" s="104"/>
      <c r="AD45" s="38"/>
      <c r="AE45" s="2"/>
      <c r="AF45" s="2"/>
      <c r="AG45" s="2"/>
      <c r="AH45" s="103"/>
      <c r="AJ45" s="139" t="s">
        <v>593</v>
      </c>
      <c r="AK45" s="2">
        <v>2574119</v>
      </c>
      <c r="AL45" s="103">
        <v>808683334</v>
      </c>
    </row>
    <row r="46" spans="2:44" s="11" customFormat="1" ht="31.5" x14ac:dyDescent="0.25">
      <c r="B46" s="19" t="s">
        <v>302</v>
      </c>
      <c r="C46" s="11">
        <v>2012</v>
      </c>
      <c r="D46" s="11" t="s">
        <v>580</v>
      </c>
      <c r="F46" s="100">
        <f t="shared" si="4"/>
        <v>1.4899927216674813</v>
      </c>
      <c r="G46" s="99">
        <f t="shared" si="25"/>
        <v>0.38664405346365516</v>
      </c>
      <c r="H46" s="100">
        <f t="shared" si="26"/>
        <v>1.1033486682038263</v>
      </c>
      <c r="I46" s="100">
        <f t="shared" si="27"/>
        <v>0</v>
      </c>
      <c r="J46" s="100"/>
      <c r="K46" s="100">
        <v>269329</v>
      </c>
      <c r="L46" s="100">
        <v>768572</v>
      </c>
      <c r="M46" s="105"/>
      <c r="N46" s="103" t="s">
        <v>592</v>
      </c>
      <c r="P46" s="38">
        <f t="shared" si="29"/>
        <v>13.033942465190226</v>
      </c>
      <c r="Q46" s="111">
        <f>V46/$AL46*1000000*Parameters!$C$12*Parameters!$C$3</f>
        <v>9.3413366399014013</v>
      </c>
      <c r="R46" s="12">
        <f>W46/$AL46*1000000*Parameters!$C$12*Parameters!$C$5</f>
        <v>0</v>
      </c>
      <c r="S46" s="12">
        <f>X46/$AL46*1000000*Parameters!$C$12*Parameters!$C$4</f>
        <v>3.2429813231192965</v>
      </c>
      <c r="T46" s="12">
        <f>Y46/$AL46*1000000*Parameters!$C$12*Parameters!$C$6</f>
        <v>0.44962450216952798</v>
      </c>
      <c r="U46" s="2"/>
      <c r="V46" s="2">
        <v>723</v>
      </c>
      <c r="X46" s="2">
        <v>251</v>
      </c>
      <c r="Y46" s="105">
        <v>87</v>
      </c>
      <c r="Z46" s="103" t="s">
        <v>592</v>
      </c>
      <c r="AB46" s="38"/>
      <c r="AC46" s="104"/>
      <c r="AD46" s="38"/>
      <c r="AE46" s="2"/>
      <c r="AF46" s="2"/>
      <c r="AG46" s="2"/>
      <c r="AH46" s="103"/>
      <c r="AJ46" s="139" t="s">
        <v>593</v>
      </c>
      <c r="AK46" s="2">
        <v>2217287</v>
      </c>
      <c r="AL46" s="103">
        <v>696581255</v>
      </c>
    </row>
    <row r="47" spans="2:44" s="11" customFormat="1" ht="31.5" x14ac:dyDescent="0.25">
      <c r="B47" s="19" t="s">
        <v>302</v>
      </c>
      <c r="C47" s="11">
        <v>2011</v>
      </c>
      <c r="D47" s="11" t="s">
        <v>580</v>
      </c>
      <c r="F47" s="100">
        <f t="shared" si="4"/>
        <v>1.7737390506874333</v>
      </c>
      <c r="G47" s="99">
        <f t="shared" si="25"/>
        <v>0.36973605421722883</v>
      </c>
      <c r="H47" s="100">
        <f t="shared" si="26"/>
        <v>1.4040029964702045</v>
      </c>
      <c r="I47" s="100">
        <f t="shared" si="27"/>
        <v>0</v>
      </c>
      <c r="J47" s="100"/>
      <c r="K47" s="100">
        <v>197885</v>
      </c>
      <c r="L47" s="100">
        <v>751431</v>
      </c>
      <c r="M47" s="105"/>
      <c r="N47" s="103" t="s">
        <v>592</v>
      </c>
      <c r="P47" s="38">
        <f t="shared" si="29"/>
        <v>17.300250515239483</v>
      </c>
      <c r="Q47" s="111">
        <f>V47/$AL47*1000000*Parameters!$C$12*Parameters!$C$3</f>
        <v>11.653454128169676</v>
      </c>
      <c r="R47" s="12">
        <f>W47/$AL47*1000000*Parameters!$C$12*Parameters!$C$5</f>
        <v>0</v>
      </c>
      <c r="S47" s="12">
        <f>X47/$AL47*1000000*Parameters!$C$12*Parameters!$C$4</f>
        <v>5.02796938574709</v>
      </c>
      <c r="T47" s="12">
        <f>Y47/$AL47*1000000*Parameters!$C$12*Parameters!$C$6</f>
        <v>0.61882700132271862</v>
      </c>
      <c r="U47" s="2"/>
      <c r="V47" s="2">
        <v>693</v>
      </c>
      <c r="X47" s="2">
        <v>299</v>
      </c>
      <c r="Y47" s="105">
        <v>92</v>
      </c>
      <c r="Z47" s="103" t="s">
        <v>592</v>
      </c>
      <c r="AB47" s="38"/>
      <c r="AC47" s="104"/>
      <c r="AD47" s="38"/>
      <c r="AE47" s="2"/>
      <c r="AF47" s="2"/>
      <c r="AG47" s="2"/>
      <c r="AH47" s="103"/>
      <c r="AJ47" s="139" t="s">
        <v>593</v>
      </c>
      <c r="AK47" s="2">
        <v>1703614</v>
      </c>
      <c r="AL47" s="103">
        <v>535206122.69999999</v>
      </c>
    </row>
    <row r="48" spans="2:44" s="278" customFormat="1" ht="33.75" x14ac:dyDescent="0.25">
      <c r="B48" s="242"/>
      <c r="F48" s="279"/>
      <c r="G48" s="280" t="s">
        <v>559</v>
      </c>
      <c r="H48" s="279" t="s">
        <v>560</v>
      </c>
      <c r="I48" s="281" t="s">
        <v>561</v>
      </c>
      <c r="J48" s="249"/>
      <c r="K48" s="281" t="s">
        <v>562</v>
      </c>
      <c r="L48" s="281" t="s">
        <v>563</v>
      </c>
      <c r="M48" s="281" t="s">
        <v>564</v>
      </c>
      <c r="N48" s="282" t="s">
        <v>485</v>
      </c>
      <c r="P48" s="281"/>
      <c r="Q48" s="283" t="s">
        <v>566</v>
      </c>
      <c r="R48" s="281" t="s">
        <v>567</v>
      </c>
      <c r="S48" s="281" t="s">
        <v>568</v>
      </c>
      <c r="T48" s="281" t="s">
        <v>569</v>
      </c>
      <c r="U48" s="249"/>
      <c r="V48" s="281" t="s">
        <v>570</v>
      </c>
      <c r="W48" s="281" t="s">
        <v>571</v>
      </c>
      <c r="X48" s="281" t="s">
        <v>572</v>
      </c>
      <c r="Y48" s="281" t="s">
        <v>573</v>
      </c>
      <c r="Z48" s="282" t="s">
        <v>485</v>
      </c>
      <c r="AB48" s="281"/>
      <c r="AC48" s="283" t="s">
        <v>574</v>
      </c>
      <c r="AD48" s="281" t="s">
        <v>575</v>
      </c>
      <c r="AE48" s="281"/>
      <c r="AF48" s="281" t="s">
        <v>576</v>
      </c>
      <c r="AG48" s="281" t="s">
        <v>577</v>
      </c>
      <c r="AH48" s="282" t="s">
        <v>485</v>
      </c>
      <c r="AJ48" s="283"/>
      <c r="AK48" s="281"/>
      <c r="AL48" s="282"/>
      <c r="AN48" s="284" t="s">
        <v>594</v>
      </c>
      <c r="AO48" s="285" t="s">
        <v>595</v>
      </c>
      <c r="AP48" s="286" t="s">
        <v>596</v>
      </c>
    </row>
    <row r="49" spans="2:42" s="11" customFormat="1" x14ac:dyDescent="0.25">
      <c r="B49" s="19" t="s">
        <v>316</v>
      </c>
      <c r="C49" s="11">
        <v>2020</v>
      </c>
      <c r="D49" s="11" t="s">
        <v>580</v>
      </c>
      <c r="F49" s="100">
        <f t="shared" si="4"/>
        <v>0.44481079951327962</v>
      </c>
      <c r="G49" s="104">
        <f t="shared" ref="G49:G58" si="31">K49/$AL49*1000</f>
        <v>0.29512535780287419</v>
      </c>
      <c r="H49" s="38">
        <f t="shared" ref="H49:H58" si="32">L49/$AL49*1000</f>
        <v>0.14968544171040546</v>
      </c>
      <c r="I49" s="38">
        <f t="shared" ref="I49:I58" si="33">M49/$AL49*1000</f>
        <v>0</v>
      </c>
      <c r="J49" s="2"/>
      <c r="K49" s="2">
        <v>423482</v>
      </c>
      <c r="L49" s="2">
        <v>214787</v>
      </c>
      <c r="M49" s="105"/>
      <c r="N49" s="103" t="s">
        <v>597</v>
      </c>
      <c r="P49" s="38">
        <f>SUM(Q49:T49)</f>
        <v>18.935518149205617</v>
      </c>
      <c r="Q49" s="111">
        <f>V49/$AL49*1000000*Parameters!$C$12*Parameters!$C$3</f>
        <v>18.935518149205617</v>
      </c>
      <c r="R49" s="12">
        <f>W49/$AL49*1000000*Parameters!$C$12*Parameters!$C$5</f>
        <v>0</v>
      </c>
      <c r="S49" s="12">
        <f>X49/$AL49*1000000*Parameters!$C$12*Parameters!$C$4</f>
        <v>0</v>
      </c>
      <c r="T49" s="12">
        <f>Y49/$AL49*1000000*Parameters!$C$12*Parameters!$C$6</f>
        <v>0</v>
      </c>
      <c r="U49" s="2"/>
      <c r="V49" s="2">
        <v>3019</v>
      </c>
      <c r="W49" s="2"/>
      <c r="X49" s="2"/>
      <c r="Y49" s="105"/>
      <c r="Z49" s="103" t="s">
        <v>597</v>
      </c>
      <c r="AB49" s="38">
        <f>SUM(AC49:AD49)</f>
        <v>18.996148603696838</v>
      </c>
      <c r="AC49" s="104">
        <f t="shared" ref="AC49:AC58" si="34">AF49/$AL49*1000*1000</f>
        <v>18.996148603696838</v>
      </c>
      <c r="AD49" s="38">
        <f t="shared" ref="AD49:AD58" si="35">AG49/$AL49*1000*1000</f>
        <v>0</v>
      </c>
      <c r="AE49" s="2"/>
      <c r="AF49" s="2">
        <v>27258</v>
      </c>
      <c r="AG49" s="2"/>
      <c r="AH49" s="103" t="s">
        <v>597</v>
      </c>
      <c r="AJ49" s="139" t="s">
        <v>598</v>
      </c>
      <c r="AK49" s="2">
        <f t="shared" ref="AK49:AK51" si="36">AL49/103.22/PI()/1000</f>
        <v>4425.0145335256411</v>
      </c>
      <c r="AL49" s="146">
        <v>1434922445</v>
      </c>
      <c r="AN49" s="147">
        <v>5.2999999999999999E-2</v>
      </c>
      <c r="AO49" s="11">
        <f>V49/AN49*1000</f>
        <v>56962264.150943398</v>
      </c>
      <c r="AP49" s="140">
        <f>1/(AO49/AL49)</f>
        <v>25.190755079496519</v>
      </c>
    </row>
    <row r="50" spans="2:42" s="11" customFormat="1" x14ac:dyDescent="0.25">
      <c r="B50" s="19" t="s">
        <v>316</v>
      </c>
      <c r="C50" s="11">
        <v>2019</v>
      </c>
      <c r="D50" s="11" t="s">
        <v>580</v>
      </c>
      <c r="F50" s="100">
        <f t="shared" si="4"/>
        <v>0.49537001190161101</v>
      </c>
      <c r="G50" s="104">
        <f t="shared" si="31"/>
        <v>0.32445317447677235</v>
      </c>
      <c r="H50" s="38">
        <f t="shared" si="32"/>
        <v>0.17091683742483868</v>
      </c>
      <c r="I50" s="38">
        <f t="shared" si="33"/>
        <v>0</v>
      </c>
      <c r="J50" s="2"/>
      <c r="K50" s="2">
        <v>403184</v>
      </c>
      <c r="L50" s="2">
        <v>212391</v>
      </c>
      <c r="M50" s="105"/>
      <c r="N50" s="103" t="s">
        <v>597</v>
      </c>
      <c r="P50" s="38">
        <f t="shared" ref="P50:P58" si="37">SUM(Q50:T50)</f>
        <v>21.698667101352459</v>
      </c>
      <c r="Q50" s="111">
        <f>V50/$AL50*1000000*Parameters!$C$12*Parameters!$C$3</f>
        <v>21.698667101352459</v>
      </c>
      <c r="R50" s="12">
        <f>W50/$AL50*1000000*Parameters!$C$12*Parameters!$C$5</f>
        <v>0</v>
      </c>
      <c r="S50" s="12">
        <f>X50/$AL50*1000000*Parameters!$C$12*Parameters!$C$4</f>
        <v>0</v>
      </c>
      <c r="T50" s="12">
        <f>Y50/$AL50*1000000*Parameters!$C$12*Parameters!$C$6</f>
        <v>0</v>
      </c>
      <c r="U50" s="2"/>
      <c r="V50" s="2">
        <v>2996</v>
      </c>
      <c r="W50" s="2"/>
      <c r="X50" s="2"/>
      <c r="Y50" s="105"/>
      <c r="Z50" s="103" t="s">
        <v>597</v>
      </c>
      <c r="AB50" s="38">
        <f t="shared" ref="AB50:AB58" si="38">SUM(AC50:AD50)</f>
        <v>21.920771838037425</v>
      </c>
      <c r="AC50" s="104">
        <f t="shared" si="34"/>
        <v>21.920771838037425</v>
      </c>
      <c r="AD50" s="38">
        <f t="shared" si="35"/>
        <v>0</v>
      </c>
      <c r="AE50" s="2"/>
      <c r="AF50" s="2">
        <v>27240</v>
      </c>
      <c r="AG50" s="2"/>
      <c r="AH50" s="103" t="s">
        <v>597</v>
      </c>
      <c r="AJ50" s="139" t="s">
        <v>598</v>
      </c>
      <c r="AK50" s="2">
        <f t="shared" si="36"/>
        <v>3832.1061805796721</v>
      </c>
      <c r="AL50" s="146">
        <v>1242656974</v>
      </c>
      <c r="AN50" s="147">
        <v>5.8000000000000003E-2</v>
      </c>
      <c r="AO50" s="11">
        <f t="shared" ref="AO50:AO51" si="39">V50/AN50*1000</f>
        <v>51655172.413793102</v>
      </c>
      <c r="AP50" s="140">
        <f t="shared" ref="AP50:AP51" si="40">1/(AO50/AL50)</f>
        <v>24.056777200267025</v>
      </c>
    </row>
    <row r="51" spans="2:42" s="11" customFormat="1" x14ac:dyDescent="0.25">
      <c r="B51" s="19" t="s">
        <v>316</v>
      </c>
      <c r="C51" s="11">
        <v>2018</v>
      </c>
      <c r="D51" s="11" t="s">
        <v>580</v>
      </c>
      <c r="F51" s="100">
        <f t="shared" si="4"/>
        <v>0.48216876086449617</v>
      </c>
      <c r="G51" s="104">
        <f t="shared" si="31"/>
        <v>0.30885873836756766</v>
      </c>
      <c r="H51" s="38">
        <f t="shared" si="32"/>
        <v>0.17331002249692851</v>
      </c>
      <c r="I51" s="38">
        <f t="shared" si="33"/>
        <v>0</v>
      </c>
      <c r="J51" s="2"/>
      <c r="K51" s="2">
        <v>406729</v>
      </c>
      <c r="L51" s="2">
        <v>228228</v>
      </c>
      <c r="M51" s="105"/>
      <c r="N51" s="103" t="s">
        <v>597</v>
      </c>
      <c r="P51" s="38">
        <f t="shared" si="37"/>
        <v>20.612401855410504</v>
      </c>
      <c r="Q51" s="111">
        <f>V51/$AL51*1000000*Parameters!$C$12*Parameters!$C$3</f>
        <v>20.612401855410504</v>
      </c>
      <c r="R51" s="12">
        <f>W51/$AL51*1000000*Parameters!$C$12*Parameters!$C$5</f>
        <v>0</v>
      </c>
      <c r="S51" s="12">
        <f>X51/$AL51*1000000*Parameters!$C$12*Parameters!$C$4</f>
        <v>0</v>
      </c>
      <c r="T51" s="12">
        <f>Y51/$AL51*1000000*Parameters!$C$12*Parameters!$C$6</f>
        <v>0</v>
      </c>
      <c r="U51" s="2"/>
      <c r="V51" s="2">
        <v>3016</v>
      </c>
      <c r="W51" s="2"/>
      <c r="X51" s="2"/>
      <c r="Y51" s="105"/>
      <c r="Z51" s="103" t="s">
        <v>597</v>
      </c>
      <c r="AB51" s="38">
        <f t="shared" si="38"/>
        <v>20.055022583310908</v>
      </c>
      <c r="AC51" s="104">
        <f t="shared" si="34"/>
        <v>20.055022583310908</v>
      </c>
      <c r="AD51" s="38">
        <f t="shared" si="35"/>
        <v>0</v>
      </c>
      <c r="AE51" s="2"/>
      <c r="AF51" s="2">
        <v>26410</v>
      </c>
      <c r="AG51" s="2"/>
      <c r="AH51" s="103" t="s">
        <v>597</v>
      </c>
      <c r="AJ51" s="139" t="s">
        <v>598</v>
      </c>
      <c r="AK51" s="2">
        <f t="shared" si="36"/>
        <v>4060.9862443068228</v>
      </c>
      <c r="AL51" s="146">
        <v>1316877101</v>
      </c>
      <c r="AN51" s="147">
        <v>5.6000000000000001E-2</v>
      </c>
      <c r="AO51" s="11">
        <f t="shared" si="39"/>
        <v>53857142.857142858</v>
      </c>
      <c r="AP51" s="140">
        <f t="shared" si="40"/>
        <v>24.451298957559683</v>
      </c>
    </row>
    <row r="52" spans="2:42" s="11" customFormat="1" ht="47.25" x14ac:dyDescent="0.25">
      <c r="B52" s="19" t="s">
        <v>316</v>
      </c>
      <c r="C52" s="11">
        <v>2017</v>
      </c>
      <c r="D52" s="11" t="s">
        <v>580</v>
      </c>
      <c r="F52" s="100">
        <f t="shared" si="4"/>
        <v>0.50087322333353357</v>
      </c>
      <c r="G52" s="104">
        <f t="shared" si="31"/>
        <v>0.31935145119260666</v>
      </c>
      <c r="H52" s="38">
        <f t="shared" si="32"/>
        <v>0.18152177214092691</v>
      </c>
      <c r="I52" s="38">
        <f t="shared" si="33"/>
        <v>0</v>
      </c>
      <c r="J52" s="2"/>
      <c r="K52" s="2">
        <v>406578</v>
      </c>
      <c r="L52" s="2">
        <v>231102</v>
      </c>
      <c r="M52" s="105"/>
      <c r="N52" s="103" t="s">
        <v>599</v>
      </c>
      <c r="P52" s="38">
        <f t="shared" si="37"/>
        <v>20.882285026259758</v>
      </c>
      <c r="Q52" s="111">
        <f>V52/$AL52*1000000*Parameters!$C$12*Parameters!$C$3</f>
        <v>20.882285026259758</v>
      </c>
      <c r="R52" s="12">
        <f>W52/$AL52*1000000*Parameters!$C$12*Parameters!$C$5</f>
        <v>0</v>
      </c>
      <c r="S52" s="12">
        <f>X52/$AL52*1000000*Parameters!$C$12*Parameters!$C$4</f>
        <v>0</v>
      </c>
      <c r="T52" s="12">
        <f>Y52/$AL52*1000000*Parameters!$C$12*Parameters!$C$6</f>
        <v>0</v>
      </c>
      <c r="U52" s="2"/>
      <c r="V52" s="2">
        <v>2954</v>
      </c>
      <c r="W52" s="2"/>
      <c r="X52" s="2"/>
      <c r="Y52" s="105"/>
      <c r="Z52" s="103" t="s">
        <v>599</v>
      </c>
      <c r="AB52" s="38">
        <f t="shared" si="38"/>
        <v>22.124099990019509</v>
      </c>
      <c r="AC52" s="104">
        <f t="shared" si="34"/>
        <v>22.124099990019509</v>
      </c>
      <c r="AD52" s="38">
        <f t="shared" si="35"/>
        <v>0</v>
      </c>
      <c r="AE52" s="2"/>
      <c r="AF52" s="2">
        <v>28167</v>
      </c>
      <c r="AG52" s="2"/>
      <c r="AH52" s="103" t="s">
        <v>599</v>
      </c>
      <c r="AJ52" s="139" t="s">
        <v>580</v>
      </c>
      <c r="AK52" s="2">
        <f>AL52/103.22/PI()/1000</f>
        <v>3926.0990654307247</v>
      </c>
      <c r="AL52" s="103">
        <f>V52/AN52*1000*AP52</f>
        <v>1273136534.9418294</v>
      </c>
      <c r="AN52" s="147">
        <v>5.7000000000000002E-2</v>
      </c>
      <c r="AP52" s="140">
        <f>AVERAGE(AP$49:AP$51)</f>
        <v>24.566277079107746</v>
      </c>
    </row>
    <row r="53" spans="2:42" s="11" customFormat="1" ht="47.25" x14ac:dyDescent="0.25">
      <c r="B53" s="19" t="s">
        <v>316</v>
      </c>
      <c r="C53" s="11">
        <v>2016</v>
      </c>
      <c r="D53" s="11" t="s">
        <v>580</v>
      </c>
      <c r="F53" s="100">
        <f t="shared" si="4"/>
        <v>0.56360041846474707</v>
      </c>
      <c r="G53" s="104">
        <f t="shared" si="31"/>
        <v>0.35026565847134333</v>
      </c>
      <c r="H53" s="38">
        <f t="shared" si="32"/>
        <v>0.21333475999340373</v>
      </c>
      <c r="I53" s="38">
        <f t="shared" si="33"/>
        <v>0</v>
      </c>
      <c r="J53" s="2"/>
      <c r="K53" s="2">
        <v>397834</v>
      </c>
      <c r="L53" s="2">
        <v>242307</v>
      </c>
      <c r="M53" s="105"/>
      <c r="N53" s="103" t="s">
        <v>599</v>
      </c>
      <c r="P53" s="38">
        <f t="shared" si="37"/>
        <v>23.446776169835523</v>
      </c>
      <c r="Q53" s="111">
        <f>V53/$AL53*1000000*Parameters!$C$12*Parameters!$C$3</f>
        <v>23.446776169835523</v>
      </c>
      <c r="R53" s="12">
        <f>W53/$AL53*1000000*Parameters!$C$12*Parameters!$C$5</f>
        <v>0</v>
      </c>
      <c r="S53" s="12">
        <f>X53/$AL53*1000000*Parameters!$C$12*Parameters!$C$4</f>
        <v>0</v>
      </c>
      <c r="T53" s="12">
        <f>Y53/$AL53*1000000*Parameters!$C$12*Parameters!$C$6</f>
        <v>0</v>
      </c>
      <c r="U53" s="2"/>
      <c r="V53" s="2">
        <v>2959</v>
      </c>
      <c r="W53" s="2"/>
      <c r="X53" s="2"/>
      <c r="Y53" s="105"/>
      <c r="Z53" s="103" t="s">
        <v>599</v>
      </c>
      <c r="AB53" s="38">
        <f t="shared" si="38"/>
        <v>24.164327992088378</v>
      </c>
      <c r="AC53" s="104">
        <f t="shared" si="34"/>
        <v>24.164327992088378</v>
      </c>
      <c r="AD53" s="38">
        <f t="shared" si="35"/>
        <v>0</v>
      </c>
      <c r="AE53" s="2"/>
      <c r="AF53" s="2">
        <v>27446</v>
      </c>
      <c r="AG53" s="2"/>
      <c r="AH53" s="103" t="s">
        <v>599</v>
      </c>
      <c r="AJ53" s="139" t="s">
        <v>580</v>
      </c>
      <c r="AK53" s="2">
        <f t="shared" ref="AK53:AK58" si="41">AL53/103.22/PI()/1000</f>
        <v>3502.6005346180091</v>
      </c>
      <c r="AL53" s="103">
        <f t="shared" ref="AL53:AL58" si="42">V53/AN53*1000*AP53</f>
        <v>1135806466.8293722</v>
      </c>
      <c r="AN53" s="147">
        <v>6.4000000000000001E-2</v>
      </c>
      <c r="AP53" s="140">
        <f t="shared" ref="AP53:AP58" si="43">AVERAGE(AP$49:AP$51)</f>
        <v>24.566277079107746</v>
      </c>
    </row>
    <row r="54" spans="2:42" s="11" customFormat="1" ht="47.25" x14ac:dyDescent="0.25">
      <c r="B54" s="19" t="s">
        <v>316</v>
      </c>
      <c r="C54" s="11">
        <v>2015</v>
      </c>
      <c r="D54" s="11" t="s">
        <v>580</v>
      </c>
      <c r="F54" s="100">
        <f t="shared" si="4"/>
        <v>0.61338930356688581</v>
      </c>
      <c r="G54" s="104">
        <f t="shared" si="31"/>
        <v>0.37860388126848815</v>
      </c>
      <c r="H54" s="38">
        <f t="shared" si="32"/>
        <v>0.23478542229839761</v>
      </c>
      <c r="I54" s="38">
        <f t="shared" si="33"/>
        <v>0</v>
      </c>
      <c r="J54" s="2"/>
      <c r="K54" s="2">
        <v>398078</v>
      </c>
      <c r="L54" s="2">
        <v>246862</v>
      </c>
      <c r="M54" s="105"/>
      <c r="N54" s="103" t="s">
        <v>599</v>
      </c>
      <c r="P54" s="38">
        <f t="shared" si="37"/>
        <v>25.644911435757599</v>
      </c>
      <c r="Q54" s="111">
        <f>V54/$AL54*1000000*Parameters!$C$12*Parameters!$C$3</f>
        <v>25.644911435757599</v>
      </c>
      <c r="R54" s="12">
        <f>W54/$AL54*1000000*Parameters!$C$12*Parameters!$C$5</f>
        <v>0</v>
      </c>
      <c r="S54" s="12">
        <f>X54/$AL54*1000000*Parameters!$C$12*Parameters!$C$4</f>
        <v>0</v>
      </c>
      <c r="T54" s="12">
        <f>Y54/$AL54*1000000*Parameters!$C$12*Parameters!$C$6</f>
        <v>0</v>
      </c>
      <c r="U54" s="2"/>
      <c r="V54" s="2">
        <v>2996</v>
      </c>
      <c r="W54" s="2"/>
      <c r="X54" s="2"/>
      <c r="Y54" s="105"/>
      <c r="Z54" s="103" t="s">
        <v>599</v>
      </c>
      <c r="AB54" s="38">
        <f t="shared" si="38"/>
        <v>26.039609486708478</v>
      </c>
      <c r="AC54" s="104">
        <f t="shared" si="34"/>
        <v>26.039609486708478</v>
      </c>
      <c r="AD54" s="38">
        <f t="shared" si="35"/>
        <v>0</v>
      </c>
      <c r="AE54" s="2"/>
      <c r="AF54" s="2">
        <v>27379</v>
      </c>
      <c r="AG54" s="2"/>
      <c r="AH54" s="103" t="s">
        <v>599</v>
      </c>
      <c r="AJ54" s="139" t="s">
        <v>580</v>
      </c>
      <c r="AK54" s="2">
        <f t="shared" si="41"/>
        <v>3242.4208801708855</v>
      </c>
      <c r="AL54" s="103">
        <f t="shared" si="42"/>
        <v>1051436658.9858114</v>
      </c>
      <c r="AN54" s="147">
        <v>7.0000000000000007E-2</v>
      </c>
      <c r="AP54" s="140">
        <f t="shared" si="43"/>
        <v>24.566277079107746</v>
      </c>
    </row>
    <row r="55" spans="2:42" s="11" customFormat="1" ht="47.25" x14ac:dyDescent="0.25">
      <c r="B55" s="19" t="s">
        <v>316</v>
      </c>
      <c r="C55" s="11">
        <v>2014</v>
      </c>
      <c r="D55" s="11" t="s">
        <v>580</v>
      </c>
      <c r="F55" s="100">
        <f t="shared" si="4"/>
        <v>0.62591046965791897</v>
      </c>
      <c r="G55" s="104">
        <f t="shared" si="31"/>
        <v>0.36185456331436366</v>
      </c>
      <c r="H55" s="38">
        <f t="shared" si="32"/>
        <v>0.26405590634355536</v>
      </c>
      <c r="I55" s="38">
        <f t="shared" si="33"/>
        <v>0</v>
      </c>
      <c r="J55" s="2"/>
      <c r="K55" s="2">
        <v>309623</v>
      </c>
      <c r="L55" s="2">
        <v>225941</v>
      </c>
      <c r="M55" s="105"/>
      <c r="N55" s="103" t="s">
        <v>599</v>
      </c>
      <c r="P55" s="38">
        <f t="shared" si="37"/>
        <v>21.614996781567118</v>
      </c>
      <c r="Q55" s="111">
        <f>V55/$AL55*1000000*Parameters!$C$12*Parameters!$C$3</f>
        <v>21.614996781567118</v>
      </c>
      <c r="R55" s="12">
        <f>W55/$AL55*1000000*Parameters!$C$12*Parameters!$C$5</f>
        <v>0</v>
      </c>
      <c r="S55" s="12">
        <f>X55/$AL55*1000000*Parameters!$C$12*Parameters!$C$4</f>
        <v>0</v>
      </c>
      <c r="T55" s="12">
        <f>Y55/$AL55*1000000*Parameters!$C$12*Parameters!$C$6</f>
        <v>0</v>
      </c>
      <c r="U55" s="2"/>
      <c r="V55" s="2">
        <v>2055</v>
      </c>
      <c r="W55" s="2"/>
      <c r="X55" s="2"/>
      <c r="Y55" s="105"/>
      <c r="Z55" s="103" t="s">
        <v>599</v>
      </c>
      <c r="AB55" s="38">
        <f t="shared" si="38"/>
        <v>22.055594445078924</v>
      </c>
      <c r="AC55" s="104">
        <f t="shared" si="34"/>
        <v>22.055594445078924</v>
      </c>
      <c r="AD55" s="38">
        <f t="shared" si="35"/>
        <v>0</v>
      </c>
      <c r="AE55" s="2"/>
      <c r="AF55" s="2">
        <v>18872</v>
      </c>
      <c r="AG55" s="2"/>
      <c r="AH55" s="103" t="s">
        <v>599</v>
      </c>
      <c r="AJ55" s="139" t="s">
        <v>580</v>
      </c>
      <c r="AK55" s="2">
        <f t="shared" si="41"/>
        <v>2638.6721482461467</v>
      </c>
      <c r="AL55" s="103">
        <f t="shared" si="42"/>
        <v>855655921.9926511</v>
      </c>
      <c r="AN55" s="147">
        <v>5.8999999999999997E-2</v>
      </c>
      <c r="AP55" s="140">
        <f t="shared" si="43"/>
        <v>24.566277079107746</v>
      </c>
    </row>
    <row r="56" spans="2:42" s="11" customFormat="1" ht="47.25" x14ac:dyDescent="0.25">
      <c r="B56" s="19" t="s">
        <v>316</v>
      </c>
      <c r="C56" s="11">
        <v>2013</v>
      </c>
      <c r="D56" s="11" t="s">
        <v>580</v>
      </c>
      <c r="F56" s="100">
        <f t="shared" si="4"/>
        <v>0.52287837341556764</v>
      </c>
      <c r="G56" s="104">
        <f t="shared" si="31"/>
        <v>0.28613513465489682</v>
      </c>
      <c r="H56" s="38">
        <f t="shared" si="32"/>
        <v>0.2367432387606708</v>
      </c>
      <c r="I56" s="38">
        <f t="shared" si="33"/>
        <v>0</v>
      </c>
      <c r="J56" s="2"/>
      <c r="K56" s="2">
        <v>281171</v>
      </c>
      <c r="L56" s="2">
        <v>232636</v>
      </c>
      <c r="M56" s="105"/>
      <c r="N56" s="103" t="s">
        <v>599</v>
      </c>
      <c r="P56" s="38">
        <f t="shared" si="37"/>
        <v>17.951438005030315</v>
      </c>
      <c r="Q56" s="111">
        <f>V56/$AL56*1000000*Parameters!$C$12*Parameters!$C$3</f>
        <v>17.951438005030315</v>
      </c>
      <c r="R56" s="12">
        <f>W56/$AL56*1000000*Parameters!$C$12*Parameters!$C$5</f>
        <v>0</v>
      </c>
      <c r="S56" s="12">
        <f>X56/$AL56*1000000*Parameters!$C$12*Parameters!$C$4</f>
        <v>0</v>
      </c>
      <c r="T56" s="12">
        <f>Y56/$AL56*1000000*Parameters!$C$12*Parameters!$C$6</f>
        <v>0</v>
      </c>
      <c r="U56" s="2"/>
      <c r="V56" s="2">
        <v>1960</v>
      </c>
      <c r="W56" s="2"/>
      <c r="X56" s="2"/>
      <c r="Y56" s="105"/>
      <c r="Z56" s="103" t="s">
        <v>599</v>
      </c>
      <c r="AB56" s="38">
        <f t="shared" si="38"/>
        <v>18.439912508568558</v>
      </c>
      <c r="AC56" s="104">
        <f t="shared" si="34"/>
        <v>18.439912508568558</v>
      </c>
      <c r="AD56" s="38">
        <f t="shared" si="35"/>
        <v>0</v>
      </c>
      <c r="AE56" s="2"/>
      <c r="AF56" s="2">
        <v>18120</v>
      </c>
      <c r="AG56" s="2"/>
      <c r="AH56" s="103" t="s">
        <v>599</v>
      </c>
      <c r="AJ56" s="139" t="s">
        <v>580</v>
      </c>
      <c r="AK56" s="2">
        <f t="shared" si="41"/>
        <v>3030.2998880101736</v>
      </c>
      <c r="AL56" s="103">
        <f t="shared" si="42"/>
        <v>982651083.16430986</v>
      </c>
      <c r="AN56" s="147">
        <v>4.9000000000000002E-2</v>
      </c>
      <c r="AP56" s="140">
        <f t="shared" si="43"/>
        <v>24.566277079107746</v>
      </c>
    </row>
    <row r="57" spans="2:42" s="11" customFormat="1" ht="47.25" x14ac:dyDescent="0.25">
      <c r="B57" s="19" t="s">
        <v>316</v>
      </c>
      <c r="C57" s="11">
        <v>2012</v>
      </c>
      <c r="D57" s="11" t="s">
        <v>580</v>
      </c>
      <c r="F57" s="100">
        <f t="shared" si="4"/>
        <v>0.56480657100753895</v>
      </c>
      <c r="G57" s="104">
        <f t="shared" si="31"/>
        <v>0.29499346057901421</v>
      </c>
      <c r="H57" s="38">
        <f t="shared" si="32"/>
        <v>0.26981311042852479</v>
      </c>
      <c r="I57" s="38">
        <f t="shared" si="33"/>
        <v>0</v>
      </c>
      <c r="J57" s="2"/>
      <c r="K57" s="2">
        <v>274476</v>
      </c>
      <c r="L57" s="2">
        <v>251047</v>
      </c>
      <c r="M57" s="105"/>
      <c r="N57" s="103" t="s">
        <v>599</v>
      </c>
      <c r="P57" s="38">
        <f t="shared" si="37"/>
        <v>17.585082127376641</v>
      </c>
      <c r="Q57" s="111">
        <f>V57/$AL57*1000000*Parameters!$C$12*Parameters!$C$3</f>
        <v>17.585082127376641</v>
      </c>
      <c r="R57" s="12">
        <f>W57/$AL57*1000000*Parameters!$C$12*Parameters!$C$5</f>
        <v>0</v>
      </c>
      <c r="S57" s="12">
        <f>X57/$AL57*1000000*Parameters!$C$12*Parameters!$C$4</f>
        <v>0</v>
      </c>
      <c r="T57" s="12">
        <f>Y57/$AL57*1000000*Parameters!$C$12*Parameters!$C$6</f>
        <v>0</v>
      </c>
      <c r="U57" s="2"/>
      <c r="V57" s="2">
        <v>1818</v>
      </c>
      <c r="W57" s="2"/>
      <c r="X57" s="2"/>
      <c r="Y57" s="105"/>
      <c r="Z57" s="103" t="s">
        <v>599</v>
      </c>
      <c r="AB57" s="38">
        <f>SUM(AC57:AD57)</f>
        <v>16.969249584962093</v>
      </c>
      <c r="AC57" s="104">
        <f t="shared" si="34"/>
        <v>16.969249584962093</v>
      </c>
      <c r="AD57" s="38">
        <f t="shared" si="35"/>
        <v>0</v>
      </c>
      <c r="AE57" s="2"/>
      <c r="AF57" s="2">
        <v>15789</v>
      </c>
      <c r="AG57" s="2"/>
      <c r="AH57" s="103" t="s">
        <v>599</v>
      </c>
      <c r="AJ57" s="139" t="s">
        <v>580</v>
      </c>
      <c r="AK57" s="2">
        <f t="shared" si="41"/>
        <v>2869.3152064596329</v>
      </c>
      <c r="AL57" s="103">
        <f t="shared" si="42"/>
        <v>930447744.37120581</v>
      </c>
      <c r="AN57" s="147">
        <v>4.8000000000000001E-2</v>
      </c>
      <c r="AP57" s="140">
        <f t="shared" si="43"/>
        <v>24.566277079107746</v>
      </c>
    </row>
    <row r="58" spans="2:42" s="11" customFormat="1" ht="47.25" x14ac:dyDescent="0.25">
      <c r="B58" s="19" t="s">
        <v>316</v>
      </c>
      <c r="C58" s="11">
        <v>2011</v>
      </c>
      <c r="D58" s="11" t="s">
        <v>580</v>
      </c>
      <c r="F58" s="100">
        <f t="shared" si="4"/>
        <v>0.59609396066159226</v>
      </c>
      <c r="G58" s="104">
        <f t="shared" si="31"/>
        <v>0.32566125503658955</v>
      </c>
      <c r="H58" s="38">
        <f t="shared" si="32"/>
        <v>0.27043270562500266</v>
      </c>
      <c r="I58" s="38">
        <f t="shared" si="33"/>
        <v>0</v>
      </c>
      <c r="J58" s="2"/>
      <c r="K58" s="2">
        <v>286192</v>
      </c>
      <c r="L58" s="2">
        <v>237657</v>
      </c>
      <c r="M58" s="105"/>
      <c r="N58" s="103" t="s">
        <v>599</v>
      </c>
      <c r="P58" s="38">
        <f t="shared" si="37"/>
        <v>16.119658616761921</v>
      </c>
      <c r="Q58" s="106">
        <f>V58/$AL58*1000000*Parameters!$C$12*Parameters!$C$3</f>
        <v>16.119658616761921</v>
      </c>
      <c r="R58" s="107">
        <f>W58/$AL58*1000000*Parameters!$C$12*Parameters!$C$5</f>
        <v>0</v>
      </c>
      <c r="S58" s="107">
        <f>X58/$AL58*1000000*Parameters!$C$12*Parameters!$C$4</f>
        <v>0</v>
      </c>
      <c r="T58" s="107">
        <f>Y58/$AL58*1000000*Parameters!$C$12*Parameters!$C$6</f>
        <v>0</v>
      </c>
      <c r="U58" s="108"/>
      <c r="V58" s="108">
        <v>1574</v>
      </c>
      <c r="W58" s="108"/>
      <c r="X58" s="108"/>
      <c r="Y58" s="109"/>
      <c r="Z58" s="110" t="s">
        <v>599</v>
      </c>
      <c r="AB58" s="38">
        <f t="shared" si="38"/>
        <v>15.399360444771924</v>
      </c>
      <c r="AC58" s="106">
        <f t="shared" si="34"/>
        <v>15.399360444771924</v>
      </c>
      <c r="AD58" s="107">
        <f t="shared" si="35"/>
        <v>0</v>
      </c>
      <c r="AE58" s="107"/>
      <c r="AF58" s="107">
        <v>13533</v>
      </c>
      <c r="AG58" s="108"/>
      <c r="AH58" s="110" t="s">
        <v>599</v>
      </c>
      <c r="AJ58" s="141" t="s">
        <v>580</v>
      </c>
      <c r="AK58" s="108">
        <f t="shared" si="41"/>
        <v>2710.0522862090979</v>
      </c>
      <c r="AL58" s="143">
        <f t="shared" si="42"/>
        <v>878802730.05717254</v>
      </c>
      <c r="AN58" s="148">
        <v>4.3999999999999997E-2</v>
      </c>
      <c r="AO58" s="142"/>
      <c r="AP58" s="143">
        <f t="shared" si="43"/>
        <v>24.566277079107746</v>
      </c>
    </row>
  </sheetData>
  <mergeCells count="4">
    <mergeCell ref="AJ2:AL2"/>
    <mergeCell ref="G2:N2"/>
    <mergeCell ref="Q2:Z2"/>
    <mergeCell ref="AC2:AH2"/>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40</vt:i4>
      </vt:variant>
    </vt:vector>
  </HeadingPairs>
  <TitlesOfParts>
    <vt:vector size="40" baseType="lpstr">
      <vt:lpstr>Criteria</vt:lpstr>
      <vt:lpstr>GWP</vt:lpstr>
      <vt:lpstr>Energy</vt:lpstr>
      <vt:lpstr>Water</vt:lpstr>
      <vt:lpstr>Parameters</vt:lpstr>
      <vt:lpstr>EIME data</vt:lpstr>
      <vt:lpstr>GaBi data</vt:lpstr>
      <vt:lpstr>EcoInvent data</vt:lpstr>
      <vt:lpstr>Industries data</vt:lpstr>
      <vt:lpstr>ITRS data</vt:lpstr>
      <vt:lpstr>Worldwide production data</vt:lpstr>
      <vt:lpstr>Apple SoC data</vt:lpstr>
      <vt:lpstr>SOTA</vt:lpstr>
      <vt:lpstr>Andrae data</vt:lpstr>
      <vt:lpstr>Bardon data</vt:lpstr>
      <vt:lpstr>Branham data</vt:lpstr>
      <vt:lpstr>Bol data</vt:lpstr>
      <vt:lpstr>Boyd data</vt:lpstr>
      <vt:lpstr>Clement data</vt:lpstr>
      <vt:lpstr>Ciceri data</vt:lpstr>
      <vt:lpstr>Das data</vt:lpstr>
      <vt:lpstr>Deng data</vt:lpstr>
      <vt:lpstr>Ercan data</vt:lpstr>
      <vt:lpstr>Jones data</vt:lpstr>
      <vt:lpstr>Kline data</vt:lpstr>
      <vt:lpstr>Krishnan data</vt:lpstr>
      <vt:lpstr>Hu data</vt:lpstr>
      <vt:lpstr>Huang data</vt:lpstr>
      <vt:lpstr>Murphy data</vt:lpstr>
      <vt:lpstr>Plepys data</vt:lpstr>
      <vt:lpstr>Prakash data</vt:lpstr>
      <vt:lpstr>Proske data</vt:lpstr>
      <vt:lpstr>Schmidt data</vt:lpstr>
      <vt:lpstr>Teehan data</vt:lpstr>
      <vt:lpstr>Wang data</vt:lpstr>
      <vt:lpstr>Williams data</vt:lpstr>
      <vt:lpstr>Yao data</vt:lpstr>
      <vt:lpstr>Industry shares details</vt:lpstr>
      <vt:lpstr>Scopes ratios details</vt:lpstr>
      <vt:lpstr>F-GHG ratio details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Utilisateur de Microsoft Office</dc:creator>
  <cp:keywords/>
  <dc:description/>
  <cp:lastModifiedBy>Thibault Pirson</cp:lastModifiedBy>
  <cp:revision/>
  <dcterms:created xsi:type="dcterms:W3CDTF">2020-08-21T14:37:00Z</dcterms:created>
  <dcterms:modified xsi:type="dcterms:W3CDTF">2022-07-15T13:30:34Z</dcterms:modified>
  <cp:category/>
  <cp:contentStatus/>
</cp:coreProperties>
</file>